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9320" windowHeight="11640" tabRatio="139" firstSheet="1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<sst xmlns="http://schemas.openxmlformats.org/spreadsheetml/2006/main" count="2410" uniqueCount="781">
  <si>
    <t>元金</t>
  </si>
  <si>
    <t>基数＆借入金</t>
  </si>
  <si>
    <t>借入金残高</t>
  </si>
  <si>
    <t>リース</t>
  </si>
  <si>
    <t>日数</t>
  </si>
  <si>
    <t>済み</t>
  </si>
  <si>
    <t>支払い予定金額</t>
  </si>
  <si>
    <t>支払い予定日</t>
  </si>
  <si>
    <t>↓　借入残高</t>
  </si>
  <si>
    <t>利息計算</t>
  </si>
  <si>
    <t>○</t>
  </si>
  <si>
    <t>input</t>
  </si>
  <si>
    <t>火災時　44万円?</t>
  </si>
  <si>
    <t>借用申込書提出</t>
  </si>
  <si>
    <t>借用　許可?</t>
  </si>
  <si>
    <t>カ障連　新潟資金</t>
  </si>
  <si>
    <t>まとめ　入力</t>
  </si>
  <si>
    <t>酒　2本</t>
  </si>
  <si>
    <t>タッパー　　数個</t>
  </si>
  <si>
    <t>食料品</t>
  </si>
  <si>
    <t>教会　帰宅</t>
  </si>
  <si>
    <t>年金</t>
  </si>
  <si>
    <t>ムトウ　通販</t>
  </si>
  <si>
    <t>エイボン</t>
  </si>
  <si>
    <t>水道</t>
  </si>
  <si>
    <t>電気</t>
  </si>
  <si>
    <t>日本テレコム</t>
  </si>
  <si>
    <t>電話</t>
  </si>
  <si>
    <t>新聞</t>
  </si>
  <si>
    <t>生保</t>
  </si>
  <si>
    <t>家計簿　　2009　年　後期</t>
  </si>
  <si>
    <t>借入金</t>
  </si>
  <si>
    <t>日・利息率input</t>
  </si>
  <si>
    <t>科      目</t>
  </si>
  <si>
    <t>入 金</t>
  </si>
  <si>
    <t>出 金</t>
  </si>
  <si>
    <t>小 計</t>
  </si>
  <si>
    <t>日  付</t>
  </si>
  <si>
    <t>玉ねぎ　　ネギ</t>
  </si>
  <si>
    <t>偽　ビール</t>
  </si>
  <si>
    <t>コーラ</t>
  </si>
  <si>
    <t>共助</t>
  </si>
  <si>
    <t>交通費</t>
  </si>
  <si>
    <t>置き薬</t>
  </si>
  <si>
    <t>ファンデーション　申込</t>
  </si>
  <si>
    <t>肉類</t>
  </si>
  <si>
    <t>宗教　書籍</t>
  </si>
  <si>
    <t>セシール</t>
  </si>
  <si>
    <t>ガス</t>
  </si>
  <si>
    <t>朝飯</t>
  </si>
  <si>
    <t>不明</t>
  </si>
  <si>
    <t>煙草　4</t>
  </si>
  <si>
    <t>ガス　3つ</t>
  </si>
  <si>
    <t>ソフトバンク　テレコム</t>
  </si>
  <si>
    <t>宗教本</t>
  </si>
  <si>
    <t>速達</t>
  </si>
  <si>
    <t>アミカ　　ごはん</t>
  </si>
  <si>
    <t>皿うどん　類</t>
  </si>
  <si>
    <t>ビール</t>
  </si>
  <si>
    <t>外食</t>
  </si>
  <si>
    <t>バンドゴム　他</t>
  </si>
  <si>
    <t>ビール</t>
  </si>
  <si>
    <t>イマージュ　通販　新潟行き　洋服</t>
  </si>
  <si>
    <t>雑誌</t>
  </si>
  <si>
    <t>紙石鹸　香水</t>
  </si>
  <si>
    <t>タクシー</t>
  </si>
  <si>
    <t>腕時計</t>
  </si>
  <si>
    <t>移動代</t>
  </si>
  <si>
    <t>共助　借入金</t>
  </si>
  <si>
    <t>洋服代</t>
  </si>
  <si>
    <t>予備費として、外す</t>
  </si>
  <si>
    <t>予備費から　借ります　しかたない。</t>
  </si>
  <si>
    <t>酒　2本　　</t>
  </si>
  <si>
    <t>コーヒー</t>
  </si>
  <si>
    <t>包丁研ぎ</t>
  </si>
  <si>
    <t>煙草　+　ライター</t>
  </si>
  <si>
    <t>借り</t>
  </si>
  <si>
    <t>バニューダ　本　</t>
  </si>
  <si>
    <t>返し</t>
  </si>
  <si>
    <t>かれい　魚</t>
  </si>
  <si>
    <t>洗剤</t>
  </si>
  <si>
    <t>たまご</t>
  </si>
  <si>
    <t>ネギ類　皿うどん</t>
  </si>
  <si>
    <t>コーヒー　缶</t>
  </si>
  <si>
    <t>コーヒー瓶　砂糖　ピン留め</t>
  </si>
  <si>
    <t>旅行費</t>
  </si>
  <si>
    <t>新潟　切符　片道のみ　障害者切符</t>
  </si>
  <si>
    <t>急行券</t>
  </si>
  <si>
    <t>帰路　名古屋集団予約　交通費</t>
  </si>
  <si>
    <t>玉ねぎ</t>
  </si>
  <si>
    <t>ファンデーション　　先払い</t>
  </si>
  <si>
    <t>髭剃り</t>
  </si>
  <si>
    <t>交通費　予備　全部は　返せないよ</t>
  </si>
  <si>
    <t>タクシー　　残</t>
  </si>
  <si>
    <t>100円　ショップ　楽しみ　使い</t>
  </si>
  <si>
    <t>コロッケ　焼き鳥　ビール</t>
  </si>
  <si>
    <t>煙草　2</t>
  </si>
  <si>
    <t>旅行経費より　貸与　落とし　　↑</t>
  </si>
  <si>
    <t>紙　卵</t>
  </si>
  <si>
    <t>★　　日本テレコム　現金封筒　第一</t>
  </si>
  <si>
    <t>マイクロフォン</t>
  </si>
  <si>
    <t>コーラ</t>
  </si>
  <si>
    <t>★</t>
  </si>
  <si>
    <t>重症手当て</t>
  </si>
  <si>
    <t>★</t>
  </si>
  <si>
    <t>★</t>
  </si>
  <si>
    <t>★　旅行経費　切り出し</t>
  </si>
  <si>
    <t>喫茶店</t>
  </si>
  <si>
    <t>焼き鳥　　デリカ</t>
  </si>
  <si>
    <t>★　旅行経費　戻し</t>
  </si>
  <si>
    <t>旅費予算</t>
  </si>
  <si>
    <t>★　固定費</t>
  </si>
  <si>
    <t>ファンデーション　他</t>
  </si>
  <si>
    <t>煙草</t>
  </si>
  <si>
    <t>楽しみ　100円ショップ</t>
  </si>
  <si>
    <t>酒　　+　　寿司600円</t>
  </si>
  <si>
    <t>煙草　28個</t>
  </si>
  <si>
    <t>ダイエイ　　洋服</t>
  </si>
  <si>
    <t>茶類</t>
  </si>
  <si>
    <t>ビール　4</t>
  </si>
  <si>
    <t>酒</t>
  </si>
  <si>
    <t>初金　特別　会計</t>
  </si>
  <si>
    <t>塵紙</t>
  </si>
  <si>
    <t>カミソリ</t>
  </si>
  <si>
    <t>皿うどん</t>
  </si>
  <si>
    <t>偽ビール</t>
  </si>
  <si>
    <t>卵</t>
  </si>
  <si>
    <t>歯磨き</t>
  </si>
  <si>
    <t>ちり紙</t>
  </si>
  <si>
    <t>ラーメン</t>
  </si>
  <si>
    <t>80円切手</t>
  </si>
  <si>
    <t>コーヒー</t>
  </si>
  <si>
    <t>年・利息　input</t>
  </si>
  <si>
    <t>香水</t>
  </si>
  <si>
    <t>つまみ</t>
  </si>
  <si>
    <t>8/1　新幹線　東京-新潟　特急券のみ</t>
  </si>
  <si>
    <t>○</t>
  </si>
  <si>
    <t>○</t>
  </si>
  <si>
    <t>大曽根-名古屋　×　2</t>
  </si>
  <si>
    <t>名古屋　入場券　×　2</t>
  </si>
  <si>
    <t>○　終わった物</t>
  </si>
  <si>
    <t>アンプ　郵送 業務扱い</t>
  </si>
  <si>
    <t>切符　指定券含む</t>
  </si>
  <si>
    <t>国　　定額給付</t>
  </si>
  <si>
    <t>ガムテープ</t>
  </si>
  <si>
    <t>煙草　3</t>
  </si>
  <si>
    <t>茶碗蒸し　など　ぜいたく品</t>
  </si>
  <si>
    <t>通常予算に　戻す</t>
  </si>
  <si>
    <t>偽　ビール　3　+酒</t>
  </si>
  <si>
    <t>ごみ袋</t>
  </si>
  <si>
    <t>訴状　コピー　10枚</t>
  </si>
  <si>
    <t>計算不能</t>
  </si>
  <si>
    <t>皿うどん　　6個</t>
  </si>
  <si>
    <t>通常予算　組み入れ</t>
  </si>
  <si>
    <t>アンプ郵送　現地録音</t>
  </si>
  <si>
    <t>ちゃんぽん　外食</t>
  </si>
  <si>
    <t>水道　ホース　20m</t>
  </si>
  <si>
    <t>カルボナーラ</t>
  </si>
  <si>
    <t>タクシー</t>
  </si>
  <si>
    <t>ジュース</t>
  </si>
  <si>
    <t>夕飯　鯖塩　など</t>
  </si>
  <si>
    <t>砂糖　珈琲</t>
  </si>
  <si>
    <t>旅行計画表　も　頭・血　</t>
  </si>
  <si>
    <t>★　名古屋駅までの移動介護人　含む</t>
  </si>
  <si>
    <t>タクシー　ホテルから千駄ヶ谷へ</t>
  </si>
  <si>
    <t>月末　　予定金額/日</t>
  </si>
  <si>
    <t>昼飯</t>
  </si>
  <si>
    <t>時刻表</t>
  </si>
  <si>
    <t>ジュース</t>
  </si>
  <si>
    <t>コピー</t>
  </si>
  <si>
    <t>めし</t>
  </si>
  <si>
    <t>飲み屋</t>
  </si>
  <si>
    <t>カ障連　より　フィードバック</t>
  </si>
  <si>
    <t>ジュース　など</t>
  </si>
  <si>
    <t>その他不明</t>
  </si>
  <si>
    <t>通常会計　ふり戻し</t>
  </si>
  <si>
    <t>通常予算　振り替え</t>
  </si>
  <si>
    <t>決算　　余り</t>
  </si>
  <si>
    <t>千駄ヶ谷　ホテル　</t>
  </si>
  <si>
    <t>現地　ホテル</t>
  </si>
  <si>
    <t>蕎麦　など　100円ショップ</t>
  </si>
  <si>
    <t>豚肉　牛肉　　各1kg</t>
  </si>
  <si>
    <t>鶏　　　　　　　　　2kg</t>
  </si>
  <si>
    <t>郵便</t>
  </si>
  <si>
    <t>冷凍　魚介 冷凍椎茸</t>
  </si>
  <si>
    <t>玉ねぎ　　皿うどん ビール　など</t>
  </si>
  <si>
    <t>コカコーラ</t>
  </si>
  <si>
    <t>苛性ソーダ</t>
  </si>
  <si>
    <t>総　合計</t>
  </si>
  <si>
    <t>靴</t>
  </si>
  <si>
    <t>郵便　4通</t>
  </si>
  <si>
    <t>電球　5</t>
  </si>
  <si>
    <t>トイレットペーパー</t>
  </si>
  <si>
    <t>茶</t>
  </si>
  <si>
    <t>ビール  3</t>
  </si>
  <si>
    <t>すし</t>
  </si>
  <si>
    <t>煙草　　3</t>
  </si>
  <si>
    <t>ハンバーガー</t>
  </si>
  <si>
    <t>肉　問屋　豚カツ　油類</t>
  </si>
  <si>
    <t>洋服</t>
  </si>
  <si>
    <t>朝飯　おにぎり</t>
  </si>
  <si>
    <t>酒　2本  高級酒</t>
  </si>
  <si>
    <t>カ障連　資金</t>
  </si>
  <si>
    <t>手紙　持っている　切手で</t>
  </si>
  <si>
    <t>愛着屋　　水着</t>
  </si>
  <si>
    <t>天麩羅</t>
  </si>
  <si>
    <t>偽　ビール　　5</t>
  </si>
  <si>
    <t>パフ</t>
  </si>
  <si>
    <t>ベニア　ボンド4</t>
  </si>
  <si>
    <t>食材</t>
  </si>
  <si>
    <t>エッチ　人形</t>
  </si>
  <si>
    <t>パソコン修理　午前中</t>
  </si>
  <si>
    <t>朝飯　おにぎり類</t>
  </si>
  <si>
    <t>座椅子</t>
  </si>
  <si>
    <t>ペンキ塗り　　材料</t>
  </si>
  <si>
    <t>夕食　材料</t>
  </si>
  <si>
    <t>バナナ</t>
  </si>
  <si>
    <t>交通費　他</t>
  </si>
  <si>
    <t>トイレットペーパー</t>
  </si>
  <si>
    <t>メンチカツ　類　保存食</t>
  </si>
  <si>
    <t>煙草　2　+　ライター</t>
  </si>
  <si>
    <t>コーラ2　　缶コーヒー1</t>
  </si>
  <si>
    <t>コーラ　5本</t>
  </si>
  <si>
    <t>トイレットペーパー</t>
  </si>
  <si>
    <t>100円　ショップの　メンチカツ　5個</t>
  </si>
  <si>
    <t>ライター　石</t>
  </si>
  <si>
    <t>ライターガソリン　</t>
  </si>
  <si>
    <t>紅茶　の　急須</t>
  </si>
  <si>
    <t>バルサン</t>
  </si>
  <si>
    <t>ネギ</t>
  </si>
  <si>
    <t>コーラ　　貯蓄飲料</t>
  </si>
  <si>
    <t>コーラ　いつもの</t>
  </si>
  <si>
    <t>メインアンプ　</t>
  </si>
  <si>
    <t>除光綿</t>
  </si>
  <si>
    <t>背広　　洗濯</t>
  </si>
  <si>
    <t>便所紙</t>
  </si>
  <si>
    <t>嘘　ビール</t>
  </si>
  <si>
    <t>手紙　　切手　自前</t>
  </si>
  <si>
    <t>珈琲　2</t>
  </si>
  <si>
    <t>100円　ショップ　　総合</t>
  </si>
  <si>
    <t>レジ袋</t>
  </si>
  <si>
    <t>煮魚</t>
  </si>
  <si>
    <t>にぎり　　寿司</t>
  </si>
  <si>
    <t>チーズ</t>
  </si>
  <si>
    <t>バター</t>
  </si>
  <si>
    <t>インナーシャツ　2枚</t>
  </si>
  <si>
    <t>煙草　　コールデンバット　5</t>
  </si>
  <si>
    <t>煙草　　ラーク　12　　　　4</t>
  </si>
  <si>
    <t>偽　ビール　　　　　　　　　1</t>
  </si>
  <si>
    <t>コーラ　予備　　　　　　　　2</t>
  </si>
  <si>
    <t>酒の肴　ごぼう巻き</t>
  </si>
  <si>
    <t>絹豆腐</t>
  </si>
  <si>
    <t>鯖　水煮</t>
  </si>
  <si>
    <t>ジュース　2</t>
  </si>
  <si>
    <t>煙草　　30</t>
  </si>
  <si>
    <t>食料　1</t>
  </si>
  <si>
    <t>食料　2</t>
  </si>
  <si>
    <t>新聞代　　二ヶ月</t>
  </si>
  <si>
    <t>ナフコ　　酒肴　焼き鳥　茶碗蒸し　他</t>
  </si>
  <si>
    <t>港　　　　　献金　二ヶ月</t>
  </si>
  <si>
    <t>食料品  アミカ</t>
  </si>
  <si>
    <t>食料品　ダイエイ</t>
  </si>
  <si>
    <t>パンツ</t>
  </si>
  <si>
    <t>マック　外食</t>
  </si>
  <si>
    <t>煙草　1</t>
  </si>
  <si>
    <t>交通費　　初金ミサ</t>
  </si>
  <si>
    <t>酒　2本　　ビール　含む</t>
  </si>
  <si>
    <t>100円　ショップ　　トイレットペーパーなど</t>
  </si>
  <si>
    <t>酒　2本  +  洗濯代</t>
  </si>
  <si>
    <t>ガス　二ヶ月</t>
  </si>
  <si>
    <t>食料品 電池　味噌　皿うどん</t>
  </si>
  <si>
    <t>いも</t>
  </si>
  <si>
    <t>電球　2</t>
  </si>
  <si>
    <t>喫茶店　　朝　外食</t>
  </si>
  <si>
    <t>煙草　5</t>
  </si>
  <si>
    <t>朝　珈琲や</t>
  </si>
  <si>
    <t>洗剤　　便所紙</t>
  </si>
  <si>
    <t>トイレットペーパー　　皿うどん　卵</t>
  </si>
  <si>
    <t>トイレットペーパー皿うどん　玉ねぎ　</t>
  </si>
  <si>
    <t>100食</t>
  </si>
  <si>
    <t>タオル</t>
  </si>
  <si>
    <t>朝飯</t>
  </si>
  <si>
    <t>おにぎり</t>
  </si>
  <si>
    <t>マック</t>
  </si>
  <si>
    <t>テレカ</t>
  </si>
  <si>
    <t>ヤマハ　楽譜</t>
  </si>
  <si>
    <t>夕食</t>
  </si>
  <si>
    <t>煙草　</t>
  </si>
  <si>
    <t>交通費　　　</t>
  </si>
  <si>
    <t>100円ショップ　　珈琲砂糖含む</t>
  </si>
  <si>
    <t>卵　　バケット</t>
  </si>
  <si>
    <t>宅急便　贈り物　我が家　着</t>
  </si>
  <si>
    <t>蛍光灯</t>
  </si>
  <si>
    <t>郵便　　輸送  借り　返し</t>
  </si>
  <si>
    <t>ラーメン</t>
  </si>
  <si>
    <t>100円　ショップ</t>
  </si>
  <si>
    <t>便所紙　箸　皿うどん　卵</t>
  </si>
  <si>
    <t>たばこ　2</t>
  </si>
  <si>
    <t>サンドイッチ</t>
  </si>
  <si>
    <t>鯨</t>
  </si>
  <si>
    <t>大和煮</t>
  </si>
  <si>
    <t>明宝ハム</t>
  </si>
  <si>
    <t>ソーセージ</t>
  </si>
  <si>
    <t>タンポン</t>
  </si>
  <si>
    <t>菓子</t>
  </si>
  <si>
    <t>サラミ　　小</t>
  </si>
  <si>
    <t>カフェオレ</t>
  </si>
  <si>
    <t>エナメル</t>
  </si>
  <si>
    <t>宗教書</t>
  </si>
  <si>
    <t>ガス</t>
  </si>
  <si>
    <t>エイボン</t>
  </si>
  <si>
    <t>通信費</t>
  </si>
  <si>
    <t>石油</t>
  </si>
  <si>
    <t>便所紙　おむすび2　茶　珈琲</t>
  </si>
  <si>
    <t>茶　ラーメン</t>
  </si>
  <si>
    <t>共助</t>
  </si>
  <si>
    <t>ベルマーク　朝飯</t>
  </si>
  <si>
    <t>ガスト　　昼飯</t>
  </si>
  <si>
    <t>たばこ　　ライター</t>
  </si>
  <si>
    <t>昼食</t>
  </si>
  <si>
    <t>テレコム</t>
  </si>
  <si>
    <t>町内会費</t>
  </si>
  <si>
    <t>新聞　二ヶ月</t>
  </si>
  <si>
    <t>航空郵便</t>
  </si>
  <si>
    <t>卵　皿うどん　カミソリ</t>
  </si>
  <si>
    <t>牛肉</t>
  </si>
  <si>
    <t>シチュウ粉　カレー粉</t>
  </si>
  <si>
    <t>えび　　56匹</t>
  </si>
  <si>
    <t>水着</t>
  </si>
  <si>
    <t>便所　紙</t>
  </si>
  <si>
    <t>八百屋</t>
  </si>
  <si>
    <t>梨</t>
  </si>
  <si>
    <t>りんご　砂糖　珈琲　タップ</t>
  </si>
  <si>
    <t>タバコ　　6</t>
  </si>
  <si>
    <t>100円　ショップ　　朝飯</t>
  </si>
  <si>
    <t>偽　ビール　　2</t>
  </si>
  <si>
    <t>タバコ　　　3</t>
  </si>
  <si>
    <t>タバコ　　　5</t>
  </si>
  <si>
    <t>エジソン　電球</t>
  </si>
  <si>
    <t>靴下</t>
  </si>
  <si>
    <t>ハンバーグ　おでん　類</t>
  </si>
  <si>
    <t>パンツ　ブラウス</t>
  </si>
  <si>
    <t>珈琲　　缶　安売り</t>
  </si>
  <si>
    <t>冬物　洗濯屋　2枚</t>
  </si>
  <si>
    <t>たまねぎ　芋　　人参</t>
  </si>
  <si>
    <t>フライパン</t>
  </si>
  <si>
    <t>アミカ　　牛肉　など</t>
  </si>
  <si>
    <t>鉄道　雑誌</t>
  </si>
  <si>
    <t>チーズ　間食　　</t>
  </si>
  <si>
    <t>おにぎり　類　　3つ</t>
  </si>
  <si>
    <t>タバコ</t>
  </si>
  <si>
    <t>チーズ</t>
  </si>
  <si>
    <t>下着</t>
  </si>
  <si>
    <t>ビール　</t>
  </si>
  <si>
    <t>エビ　56匹</t>
  </si>
  <si>
    <t>じゃがいも</t>
  </si>
  <si>
    <t>野菜類</t>
  </si>
  <si>
    <t>珈琲　砂糖</t>
  </si>
  <si>
    <t>カレー粉</t>
  </si>
  <si>
    <t>トレペ</t>
  </si>
  <si>
    <t>玉ねぎ　洗濯屋　　借り</t>
  </si>
  <si>
    <t>ニンジン</t>
  </si>
  <si>
    <t>ワイン</t>
  </si>
  <si>
    <t>ニンジン</t>
  </si>
  <si>
    <t>タバコ</t>
  </si>
  <si>
    <t>カミソリ</t>
  </si>
  <si>
    <t>おでん</t>
  </si>
  <si>
    <t>火ばさみ</t>
  </si>
  <si>
    <t>鶏肉</t>
  </si>
  <si>
    <t>酒　2</t>
  </si>
  <si>
    <t>野菜</t>
  </si>
  <si>
    <t>ドライソーセージ</t>
  </si>
  <si>
    <t>さば　缶</t>
  </si>
  <si>
    <t>ジャム</t>
  </si>
  <si>
    <t>ふふふ　　　</t>
  </si>
  <si>
    <t>ソックス</t>
  </si>
  <si>
    <t>ハム</t>
  </si>
  <si>
    <t>パン</t>
  </si>
  <si>
    <t>電球　3</t>
  </si>
  <si>
    <t>皿</t>
  </si>
  <si>
    <t>タバコ　4</t>
  </si>
  <si>
    <t>競馬　カレンダー</t>
  </si>
  <si>
    <t>副　収入　　</t>
  </si>
  <si>
    <t>おふろ洗剤</t>
  </si>
  <si>
    <t>食事トレー　2</t>
  </si>
  <si>
    <t>あさり</t>
  </si>
  <si>
    <t>ソックス</t>
  </si>
  <si>
    <t>パスタ　ミートソース</t>
  </si>
  <si>
    <t>野菜入り　パスタ</t>
  </si>
  <si>
    <t>パスタ　2</t>
  </si>
  <si>
    <t>おでん　5</t>
  </si>
  <si>
    <t>ミルク</t>
  </si>
  <si>
    <t>タバコ　4</t>
  </si>
  <si>
    <t>家計簿　　2010  新規　　契約分</t>
  </si>
  <si>
    <t>聖パウロ　宗教書</t>
  </si>
  <si>
    <t>クリームシチュウ</t>
  </si>
  <si>
    <t>水着　うしし　女子高校生</t>
  </si>
  <si>
    <t>ビキニ　女の水着　だぞ</t>
  </si>
  <si>
    <t>牛　豚　おでん　エビ　　　アミカ</t>
  </si>
  <si>
    <t>肴</t>
  </si>
  <si>
    <t>雑誌　類</t>
  </si>
  <si>
    <t>交通費　類</t>
  </si>
  <si>
    <t>タバコ　　　40個</t>
  </si>
  <si>
    <t>エイボン　　化粧品</t>
  </si>
  <si>
    <t>カトリック　維持献金</t>
  </si>
  <si>
    <t>かね仙　栄店　肉</t>
  </si>
  <si>
    <t>カトリック障害者連絡協議会　新潟大会</t>
  </si>
  <si>
    <t>借入金返済</t>
  </si>
  <si>
    <t>x酒</t>
  </si>
  <si>
    <t>おでん　　3</t>
  </si>
  <si>
    <t>電線　材料</t>
  </si>
  <si>
    <t>おやさい</t>
  </si>
  <si>
    <t>珈琲　　缶</t>
  </si>
  <si>
    <t>おでん　　3</t>
  </si>
  <si>
    <t>共助　返金</t>
  </si>
  <si>
    <t>ジャガイモ</t>
  </si>
  <si>
    <t>バケット　　パン　</t>
  </si>
  <si>
    <t>マーマレード</t>
  </si>
  <si>
    <t>珈琲</t>
  </si>
  <si>
    <t>おでん　3</t>
  </si>
  <si>
    <t>おやさい</t>
  </si>
  <si>
    <t>プロテスタント　放送　援助</t>
  </si>
  <si>
    <t>書籍　宗教</t>
  </si>
  <si>
    <t>現金封筒　　2</t>
  </si>
  <si>
    <t>クリスマス　献金　ワールドビジョン</t>
  </si>
  <si>
    <t>タバコ　　5</t>
  </si>
  <si>
    <t>不明率</t>
  </si>
  <si>
    <t>正月　酒　　2</t>
  </si>
  <si>
    <t>紅茶</t>
  </si>
  <si>
    <t>砂糖</t>
  </si>
  <si>
    <t>レジ　袋</t>
  </si>
  <si>
    <t>玉ねぎ　4</t>
  </si>
  <si>
    <t>チョコレート</t>
  </si>
  <si>
    <t>現金　郵送</t>
  </si>
  <si>
    <t>お茶　2</t>
  </si>
  <si>
    <t>女子高校生　襞スカート　　ひひひ</t>
  </si>
  <si>
    <t>砂糖　壷</t>
  </si>
  <si>
    <t>女のショーツ　ひひひのひ</t>
  </si>
  <si>
    <t>みじゅぎ　　高校生　ふししし</t>
  </si>
  <si>
    <t>吉野家</t>
  </si>
  <si>
    <t>小型アンプ　機材</t>
  </si>
  <si>
    <t>ウインナー</t>
  </si>
  <si>
    <t>サーモン　煮込み</t>
  </si>
  <si>
    <t>照り焼き</t>
  </si>
  <si>
    <t>キムチ</t>
  </si>
  <si>
    <t>豆</t>
  </si>
  <si>
    <t>カラフトマス</t>
  </si>
  <si>
    <t>フレッシュ</t>
  </si>
  <si>
    <t>マカロニ　2</t>
  </si>
  <si>
    <t>カニ　缶詰</t>
  </si>
  <si>
    <t>薬味</t>
  </si>
  <si>
    <t>餅　1キロ</t>
  </si>
  <si>
    <t>パイプ洗浄剤</t>
  </si>
  <si>
    <t>サンポール　　酸</t>
  </si>
  <si>
    <t>さんま　味噌　缶詰</t>
  </si>
  <si>
    <t>茶碗蒸し　2</t>
  </si>
  <si>
    <t>ニ八　蕎麦　　2袋</t>
  </si>
  <si>
    <t>ビニール　袋　2</t>
  </si>
  <si>
    <t>重度障害手当て</t>
  </si>
  <si>
    <t>昨年からの繰越</t>
  </si>
  <si>
    <t>最終データ　位置</t>
  </si>
  <si>
    <t>酒　1</t>
  </si>
  <si>
    <t>石油　　7リッター</t>
  </si>
  <si>
    <t>来年　　生保</t>
  </si>
  <si>
    <t>枕</t>
  </si>
  <si>
    <t>ヌードクッション</t>
  </si>
  <si>
    <t>ショーツ</t>
  </si>
  <si>
    <t>化粧箱　2</t>
  </si>
  <si>
    <t>ホタテ　パリ風</t>
  </si>
  <si>
    <t>インスタントラーメン</t>
  </si>
  <si>
    <t>鯖　照り焼き　　2</t>
  </si>
  <si>
    <t>更科蕎麦</t>
  </si>
  <si>
    <t>献金　カトリック</t>
  </si>
  <si>
    <t>聖具</t>
  </si>
  <si>
    <t>置き薬　</t>
  </si>
  <si>
    <t>ボンプ</t>
  </si>
  <si>
    <t>朝日　二ヶ月</t>
  </si>
  <si>
    <t>石油　　20l</t>
  </si>
  <si>
    <t>H人形</t>
  </si>
  <si>
    <t>タバコ　6</t>
  </si>
  <si>
    <t>正月商品</t>
  </si>
  <si>
    <t>タバコ　2</t>
  </si>
  <si>
    <t>タンポン</t>
  </si>
  <si>
    <t>テレコム</t>
  </si>
  <si>
    <t>おかず</t>
  </si>
  <si>
    <t>赤字　4809円</t>
  </si>
  <si>
    <t>タバコ　10</t>
  </si>
  <si>
    <t>缶コーヒー</t>
  </si>
  <si>
    <t>ヨーグルト</t>
  </si>
  <si>
    <t>牛乳</t>
  </si>
  <si>
    <t>袋</t>
  </si>
  <si>
    <t>紅茶　缶</t>
  </si>
  <si>
    <t>たまねぎ　ネギ</t>
  </si>
  <si>
    <t>クッション</t>
  </si>
  <si>
    <t>おでん　2</t>
  </si>
  <si>
    <t>化粧　刷毛</t>
  </si>
  <si>
    <t>クリーニング　防寒　2</t>
  </si>
  <si>
    <t>タバコ　40個</t>
  </si>
  <si>
    <t>石油　18リッター</t>
  </si>
  <si>
    <t>喫茶店　パン別売り</t>
  </si>
  <si>
    <t>剃刀</t>
  </si>
  <si>
    <t>カラシ</t>
  </si>
  <si>
    <t>ニンニク</t>
  </si>
  <si>
    <t>らっきょ</t>
  </si>
  <si>
    <t>ポット　2　砂糖壷</t>
  </si>
  <si>
    <t>パケット　　3</t>
  </si>
  <si>
    <t>芋　玉ねぎ</t>
  </si>
  <si>
    <t>コーラ　5</t>
  </si>
  <si>
    <t>茶碗蒸し　　3</t>
  </si>
  <si>
    <t>スルメ　2</t>
  </si>
  <si>
    <t>鰈　1</t>
  </si>
  <si>
    <t>糸　針　100円ショップ</t>
  </si>
  <si>
    <t>フレッシュ</t>
  </si>
  <si>
    <t>酒　2  借り</t>
  </si>
  <si>
    <t>＾［：</t>
  </si>
  <si>
    <t>豚肉</t>
  </si>
  <si>
    <t>葱　玉葱　皿うどん</t>
  </si>
  <si>
    <t>酒　</t>
  </si>
  <si>
    <t>タバコ　　3</t>
  </si>
  <si>
    <t>セシール</t>
  </si>
  <si>
    <t>100円ショップ　贅沢品　各種</t>
  </si>
  <si>
    <t>タバコ　5</t>
  </si>
  <si>
    <t>ライター</t>
  </si>
  <si>
    <t>コカコーラ　保存用</t>
  </si>
  <si>
    <t>茶　伊右江門</t>
  </si>
  <si>
    <t>リプトン</t>
  </si>
  <si>
    <t>電球</t>
  </si>
  <si>
    <t>電球型　蛍光灯　2</t>
  </si>
  <si>
    <t>ミルク　20個</t>
  </si>
  <si>
    <t>パフ　化粧惑星</t>
  </si>
  <si>
    <t>MD 4個</t>
  </si>
  <si>
    <t>酒　返し</t>
  </si>
  <si>
    <t>豚肉　1kg</t>
  </si>
  <si>
    <t>玉葱　葱　芋</t>
  </si>
  <si>
    <t>コーヒー　瓶</t>
  </si>
  <si>
    <t>電気部品</t>
  </si>
  <si>
    <t>パソコン</t>
  </si>
  <si>
    <t>ラーク　1</t>
  </si>
  <si>
    <t>タバコ　　140*25</t>
  </si>
  <si>
    <t>辛いラーメン</t>
  </si>
  <si>
    <t>焼き鳥</t>
  </si>
  <si>
    <t>手尺　1</t>
  </si>
  <si>
    <t>塵袋</t>
  </si>
  <si>
    <t>コート</t>
  </si>
  <si>
    <t>おにぎり</t>
  </si>
  <si>
    <t>かっぱえびせん</t>
  </si>
  <si>
    <t>米あられ</t>
  </si>
  <si>
    <t>焼きそば</t>
  </si>
  <si>
    <t>マニキュア</t>
  </si>
  <si>
    <t>ショコラドール　2</t>
  </si>
  <si>
    <t>ドライソーセージ　2</t>
  </si>
  <si>
    <t>鯖　缶詰　2</t>
  </si>
  <si>
    <t>ヨーグルト</t>
  </si>
  <si>
    <t>ステンレスターナー</t>
  </si>
  <si>
    <t>ナイロンターナー</t>
  </si>
  <si>
    <t>マカロニ　2</t>
  </si>
  <si>
    <t>Mリングラメ　2</t>
  </si>
  <si>
    <t>サンドイッチ</t>
  </si>
  <si>
    <t>カルパス</t>
  </si>
  <si>
    <t>エナメル</t>
  </si>
  <si>
    <t>宗教書　2</t>
  </si>
  <si>
    <t>地震　援助</t>
  </si>
  <si>
    <t>ガス</t>
  </si>
  <si>
    <t>タバコ　15</t>
  </si>
  <si>
    <t>共助　支払い</t>
  </si>
  <si>
    <t>かしわ　2kg</t>
  </si>
  <si>
    <t>クリーム</t>
  </si>
  <si>
    <t>女　水着　</t>
  </si>
  <si>
    <t>スカート　2枚</t>
  </si>
  <si>
    <t>マグロ</t>
  </si>
  <si>
    <t>紙</t>
  </si>
  <si>
    <t>石　ガソリン</t>
  </si>
  <si>
    <t>貯金　取り崩し</t>
  </si>
  <si>
    <t>貯金崩し</t>
  </si>
  <si>
    <t>洋服　1</t>
  </si>
  <si>
    <t>洋服　2</t>
  </si>
  <si>
    <t>フリュート</t>
  </si>
  <si>
    <t>共助退部</t>
  </si>
  <si>
    <t>あさみちゆき　おもいで写真館</t>
  </si>
  <si>
    <t>実際の支払</t>
  </si>
  <si>
    <t>修理依頼　1400時　契約</t>
  </si>
  <si>
    <t>共助　借入金　残高　＆　返済計画表</t>
  </si>
  <si>
    <t>宗教書</t>
  </si>
  <si>
    <t>ペンキ類</t>
  </si>
  <si>
    <t>タバコ　10</t>
  </si>
  <si>
    <t>葱</t>
  </si>
  <si>
    <t>コーラ　複数</t>
  </si>
  <si>
    <t>ぱそこん購入</t>
  </si>
  <si>
    <t>靴　ピンク</t>
  </si>
  <si>
    <t>DVD 荒野の七人</t>
  </si>
  <si>
    <t>喫茶店　朝・サービス</t>
  </si>
  <si>
    <t>造花</t>
  </si>
  <si>
    <t>アミカ　豚</t>
  </si>
  <si>
    <t>ライス類</t>
  </si>
  <si>
    <t>醤油</t>
  </si>
  <si>
    <t>侍　　香水</t>
  </si>
  <si>
    <t>レギンズ　2　　パンツ　女物　精液　うししし</t>
  </si>
  <si>
    <t>酒　　1本</t>
  </si>
  <si>
    <t>皿うどん　2</t>
  </si>
  <si>
    <t>八百屋　玉葱　葱　芋</t>
  </si>
  <si>
    <t xml:space="preserve">カレー粉　1kg </t>
  </si>
  <si>
    <t>もやし　じゃが　玉葱　ピーマン</t>
  </si>
  <si>
    <t>さつまいも</t>
  </si>
  <si>
    <t>玉葱</t>
  </si>
  <si>
    <t>電池</t>
  </si>
  <si>
    <t>もやし　葱 玉葱　コーヒー　</t>
  </si>
  <si>
    <t>ペンキ塗り　工事</t>
  </si>
  <si>
    <t>石鹸</t>
  </si>
  <si>
    <t>もやし</t>
  </si>
  <si>
    <t>じゃが</t>
  </si>
  <si>
    <t>酒　借り願い</t>
  </si>
  <si>
    <t>タバコ　</t>
  </si>
  <si>
    <t>ジャガイモ</t>
  </si>
  <si>
    <t>喫茶店　モーニングサービス</t>
  </si>
  <si>
    <t>化粧紙</t>
  </si>
  <si>
    <t>砂糖　二つ</t>
  </si>
  <si>
    <t>塩</t>
  </si>
  <si>
    <t>ブタ　　二つ</t>
  </si>
  <si>
    <t>焼きそば　二つ</t>
  </si>
  <si>
    <t>コーラ　三本</t>
  </si>
  <si>
    <t>乳酸菌飲料</t>
  </si>
  <si>
    <t>サバカン　二個</t>
  </si>
  <si>
    <t>チキンラーメン　</t>
  </si>
  <si>
    <t>ハンバーガー</t>
  </si>
  <si>
    <t>タバコ　10個</t>
  </si>
  <si>
    <t>月ぎめ　牛乳　おつりあり　</t>
  </si>
  <si>
    <t>保険年金</t>
  </si>
  <si>
    <t>印鑑</t>
  </si>
  <si>
    <t>ラーメン　3</t>
  </si>
  <si>
    <t>ヤクルト</t>
  </si>
  <si>
    <t>ラーメン　5</t>
  </si>
  <si>
    <t>赤魚</t>
  </si>
  <si>
    <t>もも肉　2kg</t>
  </si>
  <si>
    <t>海老フライ　2</t>
  </si>
  <si>
    <t>ご飯物　</t>
  </si>
  <si>
    <t>椎茸</t>
  </si>
  <si>
    <t>ハイデンパック</t>
  </si>
  <si>
    <t>カレー　1kg</t>
  </si>
  <si>
    <t>ウインナー　1kg</t>
  </si>
  <si>
    <t>ベストフレンド</t>
  </si>
  <si>
    <t>冷凍海老</t>
  </si>
  <si>
    <t>DVD カルメン</t>
  </si>
  <si>
    <t>冷凍餃子</t>
  </si>
  <si>
    <t>タバコ　140*35</t>
  </si>
  <si>
    <t>病院　飯</t>
  </si>
  <si>
    <t>usbメモリー</t>
  </si>
  <si>
    <t>冷凍食品</t>
  </si>
  <si>
    <t>書籍</t>
  </si>
  <si>
    <t>除光液</t>
  </si>
  <si>
    <t>ステンレス金具　カーテン</t>
  </si>
  <si>
    <t>ゴムひも</t>
  </si>
  <si>
    <t>紐通し</t>
  </si>
  <si>
    <t>野菜　玉葱　葱</t>
  </si>
  <si>
    <t>洋服　直し</t>
  </si>
  <si>
    <t>ごめん</t>
  </si>
  <si>
    <t>月決め牛乳代　払い戻し</t>
  </si>
  <si>
    <t>じがいも　玉葱</t>
  </si>
  <si>
    <t>ヤマハ　手紙</t>
  </si>
  <si>
    <t>100円　ショップ　5</t>
  </si>
  <si>
    <t>コカコーラ　</t>
  </si>
  <si>
    <t>もやし</t>
  </si>
  <si>
    <t>葱　芋類</t>
  </si>
  <si>
    <t>電話　1</t>
  </si>
  <si>
    <t>ガス　1</t>
  </si>
  <si>
    <t>スクロール</t>
  </si>
  <si>
    <t>電話　2</t>
  </si>
  <si>
    <t>ガス　2</t>
  </si>
  <si>
    <t>セシール</t>
  </si>
  <si>
    <t>電気　1</t>
  </si>
  <si>
    <t>電気　2</t>
  </si>
  <si>
    <t>日本ハーモニカ連盟</t>
  </si>
  <si>
    <t>タバコ　300円　×　10個</t>
  </si>
  <si>
    <t>インスタントラーメン</t>
  </si>
  <si>
    <t>タイツ</t>
  </si>
  <si>
    <t>香水　　8-4</t>
  </si>
  <si>
    <t>ショーツ</t>
  </si>
  <si>
    <t>チキンラーメン</t>
  </si>
  <si>
    <t>ドンべい</t>
  </si>
  <si>
    <t>味の素</t>
  </si>
  <si>
    <t>ソース　1</t>
  </si>
  <si>
    <t>ソース　2</t>
  </si>
  <si>
    <t>喫茶店　1</t>
  </si>
  <si>
    <t>喫茶店　2</t>
  </si>
  <si>
    <t>ピーマン</t>
  </si>
  <si>
    <t>じゃが</t>
  </si>
  <si>
    <t>人参</t>
  </si>
  <si>
    <t>もやし</t>
  </si>
  <si>
    <t>ミルク</t>
  </si>
  <si>
    <t>共助　支払い</t>
  </si>
  <si>
    <t>教会　十いつ</t>
  </si>
  <si>
    <t>タイプライターキーボード</t>
  </si>
  <si>
    <t>喫茶店　朝間サービス</t>
  </si>
  <si>
    <t>タイツ</t>
  </si>
  <si>
    <t>　署名用紙+バミュ本　郵送</t>
  </si>
  <si>
    <t>愛着屋　　水着  女装用</t>
  </si>
  <si>
    <t>生涯基礎年金</t>
  </si>
  <si>
    <t>宗教　女子パウロ　本屋</t>
  </si>
  <si>
    <t>苛性ソーダ　　ベランダ掃除用</t>
  </si>
  <si>
    <t>手紙　エイボン　薬品検査依頼</t>
  </si>
  <si>
    <t>津　教会　ミサ　交通費</t>
  </si>
  <si>
    <t>カレー粉　業務用</t>
  </si>
  <si>
    <t>エイボン　女装用必需品</t>
  </si>
  <si>
    <t>石油　薄め液　ペンキ塗りなおし用</t>
  </si>
  <si>
    <t>エイボン　化粧大好き男</t>
  </si>
  <si>
    <t>コンピュータ　壊れたので　前年度は　廃棄。</t>
  </si>
  <si>
    <t>かみそり</t>
  </si>
  <si>
    <t>豚肉　500g</t>
  </si>
  <si>
    <t>郵送</t>
  </si>
  <si>
    <t>(-)残高・貯金</t>
  </si>
  <si>
    <t>共助支払い　郵送</t>
  </si>
  <si>
    <t>ジャリ銭　計上</t>
  </si>
  <si>
    <t>昼間　喫茶店食事</t>
  </si>
  <si>
    <t>焼きそば　2</t>
  </si>
  <si>
    <t>うどん</t>
  </si>
  <si>
    <t>チゲラーメン　2</t>
  </si>
  <si>
    <t>唐　ラーメン　2</t>
  </si>
  <si>
    <t>洗剤　クレンザー</t>
  </si>
  <si>
    <t>箸　元禄</t>
  </si>
  <si>
    <t>チキンラーメン</t>
  </si>
  <si>
    <t>冷やしそば　そんまんま　食事</t>
  </si>
  <si>
    <t>出汁　昆布</t>
  </si>
  <si>
    <t>ポン酢</t>
  </si>
  <si>
    <t>白　出汁　醤油</t>
  </si>
  <si>
    <t>しいたけ</t>
  </si>
  <si>
    <t>片栗粉</t>
  </si>
  <si>
    <t>卵　10</t>
  </si>
  <si>
    <t>うどん玉</t>
  </si>
  <si>
    <t>ベルーナ　支払い</t>
  </si>
  <si>
    <t>スカート</t>
  </si>
  <si>
    <t>十一</t>
  </si>
  <si>
    <t>チキンラーメン</t>
  </si>
  <si>
    <t>ライター石</t>
  </si>
  <si>
    <t>ライターガソリン</t>
  </si>
  <si>
    <t>一平ちゃん　焼きそば</t>
  </si>
  <si>
    <t>本焼き用　焼きそば</t>
  </si>
  <si>
    <t>カップヌードル</t>
  </si>
  <si>
    <t>バナナ</t>
  </si>
  <si>
    <t>ドライソーセージ　</t>
  </si>
  <si>
    <t>おにぎり</t>
  </si>
  <si>
    <t>スイート香水　スプレー</t>
  </si>
  <si>
    <t>電話代　払いすぎ</t>
  </si>
  <si>
    <t>ゴムひも　はさみ</t>
  </si>
  <si>
    <t>トイレ紙</t>
  </si>
  <si>
    <t>モヤシ</t>
  </si>
  <si>
    <t>ナイフ</t>
  </si>
  <si>
    <t>新聞代　3-4　月</t>
  </si>
  <si>
    <t>タクシー</t>
  </si>
  <si>
    <t>ソース</t>
  </si>
  <si>
    <t>コンソメ　2</t>
  </si>
  <si>
    <t>たまご</t>
  </si>
  <si>
    <t>インスタントうどん　3</t>
  </si>
  <si>
    <t>胡麻油</t>
  </si>
  <si>
    <t>キャノーら油</t>
  </si>
  <si>
    <t>茶碗蒸し　3</t>
  </si>
  <si>
    <t>チキンから揚げ</t>
  </si>
  <si>
    <t>太刀　照り焼き</t>
  </si>
  <si>
    <t>バイキング野菜</t>
  </si>
  <si>
    <t>イカ　揚げ物</t>
  </si>
  <si>
    <t>タバコ　300円　×　10</t>
  </si>
  <si>
    <t>その他</t>
  </si>
  <si>
    <t>車椅子　転倒事故</t>
  </si>
  <si>
    <t>医療券</t>
  </si>
  <si>
    <t>血　洗い　洗濯屋</t>
  </si>
  <si>
    <t>牛乳　月契約</t>
  </si>
  <si>
    <t>町内会費</t>
  </si>
  <si>
    <t>スターパワー</t>
  </si>
  <si>
    <t>クレンザー</t>
  </si>
  <si>
    <t>エナメル</t>
  </si>
  <si>
    <t>温度計</t>
  </si>
  <si>
    <t>ファンデーション</t>
  </si>
  <si>
    <t>ファンデーションケース</t>
  </si>
  <si>
    <t>ジッポガソリン</t>
  </si>
  <si>
    <t>女　　　ショーツーーー　2枚</t>
  </si>
  <si>
    <t>ロングパンツ　黒</t>
  </si>
  <si>
    <t>喫茶店　朝飯</t>
  </si>
  <si>
    <t>ぱっと入り　Tシャツ　黄色　女服ぅぅぅぅ</t>
  </si>
  <si>
    <t>和裁　裁ち台</t>
  </si>
  <si>
    <t>愛着屋　　みじゅぎーーーーー</t>
  </si>
  <si>
    <t>コーヒー　インスタント粉</t>
  </si>
  <si>
    <t>ブラウス　　タイトスカート</t>
  </si>
  <si>
    <t>目白駅、下車　　バス移動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</si>
</sst>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_-\$* #,##0.00_ ;_-\$* \-#,##0.00\ ;_-\$* &quot;-&quot;??_ ;_-@_ "/>
    <numFmt numFmtId="182" formatCode="0.0000%"/>
    <numFmt numFmtId="183" formatCode="0.000%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5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0" fillId="3" borderId="0" applyNumberFormat="0" applyBorder="0" applyAlignment="0" applyProtection="0"/>
    <xf numFmtId="0" fontId="2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14" fontId="0" fillId="0" borderId="0" xfId="0" applyNumberFormat="1" applyFont="1" applyFill="1" applyBorder="1" applyAlignment="1" applyProtection="1">
      <alignment vertical="center"/>
      <protection/>
    </xf>
    <xf numFmtId="42" fontId="0" fillId="0" borderId="0" xfId="58" applyNumberFormat="1" applyFont="1" applyAlignment="1">
      <alignment vertical="center"/>
    </xf>
    <xf numFmtId="42" fontId="0" fillId="0" borderId="0" xfId="0" applyNumberFormat="1" applyAlignment="1">
      <alignment vertical="center"/>
    </xf>
    <xf numFmtId="42" fontId="4" fillId="0" borderId="0" xfId="0" applyNumberFormat="1" applyFont="1" applyAlignment="1">
      <alignment vertical="center"/>
    </xf>
    <xf numFmtId="42" fontId="0" fillId="0" borderId="0" xfId="5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2" fontId="7" fillId="0" borderId="0" xfId="58" applyNumberFormat="1" applyFont="1" applyAlignment="1">
      <alignment vertical="center"/>
    </xf>
    <xf numFmtId="42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42" fontId="0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0" fontId="7" fillId="0" borderId="0" xfId="0" applyNumberFormat="1" applyFont="1" applyAlignment="1">
      <alignment vertical="center"/>
    </xf>
    <xf numFmtId="4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3" fontId="0" fillId="0" borderId="0" xfId="58" applyNumberFormat="1" applyFont="1" applyAlignment="1">
      <alignment vertical="center"/>
    </xf>
    <xf numFmtId="42" fontId="3" fillId="0" borderId="0" xfId="58" applyNumberFormat="1" applyFont="1" applyAlignment="1">
      <alignment vertical="center"/>
    </xf>
    <xf numFmtId="38" fontId="3" fillId="0" borderId="0" xfId="49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9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4"/>
  <sheetViews>
    <sheetView tabSelected="1" zoomScalePageLayoutView="0" workbookViewId="0" topLeftCell="A93">
      <selection activeCell="E111" sqref="E111"/>
    </sheetView>
  </sheetViews>
  <sheetFormatPr defaultColWidth="9.00390625" defaultRowHeight="13.5"/>
  <cols>
    <col min="1" max="1" width="13.625" style="0" customWidth="1"/>
    <col min="2" max="2" width="14.625" style="0" customWidth="1"/>
    <col min="3" max="3" width="18.625" style="0" customWidth="1"/>
    <col min="4" max="4" width="13.625" style="0" customWidth="1"/>
    <col min="5" max="5" width="11.625" style="0" customWidth="1"/>
    <col min="6" max="6" width="13.625" style="0" customWidth="1"/>
    <col min="7" max="7" width="6.125" style="0" customWidth="1"/>
    <col min="8" max="9" width="13.625" style="0" customWidth="1"/>
    <col min="11" max="11" width="15.625" style="0" customWidth="1"/>
    <col min="12" max="12" width="11.625" style="0" customWidth="1"/>
    <col min="13" max="13" width="4.125" style="0" customWidth="1"/>
    <col min="14" max="14" width="13.50390625" style="0" customWidth="1"/>
    <col min="15" max="15" width="26.625" style="0" customWidth="1"/>
    <col min="16" max="18" width="13.625" style="0" customWidth="1"/>
    <col min="20" max="20" width="10.50390625" style="0" bestFit="1" customWidth="1"/>
    <col min="22" max="22" width="12.625" style="0" customWidth="1"/>
    <col min="23" max="23" width="24.625" style="0" customWidth="1"/>
    <col min="24" max="26" width="13.625" style="0" customWidth="1"/>
    <col min="27" max="27" width="8.625" style="0" customWidth="1"/>
    <col min="28" max="28" width="10.625" style="0" customWidth="1"/>
  </cols>
  <sheetData>
    <row r="1" ht="13.5">
      <c r="B1" s="1" t="s">
        <v>32</v>
      </c>
    </row>
    <row r="2" spans="2:23" ht="13.5">
      <c r="B2">
        <v>0.00015</v>
      </c>
      <c r="C2" s="1" t="s">
        <v>581</v>
      </c>
      <c r="O2" s="1" t="s">
        <v>30</v>
      </c>
      <c r="P2" t="s">
        <v>704</v>
      </c>
      <c r="W2" s="1" t="s">
        <v>393</v>
      </c>
    </row>
    <row r="3" spans="2:12" ht="13.5">
      <c r="B3" s="1"/>
      <c r="C3" s="1"/>
      <c r="D3" s="1"/>
      <c r="E3" s="1"/>
      <c r="F3" s="1"/>
      <c r="G3" s="1" t="s">
        <v>3</v>
      </c>
      <c r="H3" s="1"/>
      <c r="I3" s="1"/>
      <c r="J3" s="1"/>
      <c r="K3" s="1"/>
      <c r="L3" s="1"/>
    </row>
    <row r="4" spans="2:27" ht="14.25" thickBot="1">
      <c r="B4" s="13" t="s">
        <v>7</v>
      </c>
      <c r="C4" s="13" t="s">
        <v>132</v>
      </c>
      <c r="D4" s="13" t="s">
        <v>0</v>
      </c>
      <c r="E4" s="14" t="s">
        <v>1</v>
      </c>
      <c r="F4" s="14" t="s">
        <v>2</v>
      </c>
      <c r="G4" s="14" t="s">
        <v>4</v>
      </c>
      <c r="H4" s="14" t="s">
        <v>9</v>
      </c>
      <c r="I4" s="14" t="s">
        <v>0</v>
      </c>
      <c r="J4" s="13" t="s">
        <v>5</v>
      </c>
      <c r="K4" s="13" t="s">
        <v>6</v>
      </c>
      <c r="L4" s="13"/>
      <c r="N4" s="10" t="s">
        <v>37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5</v>
      </c>
      <c r="V4" s="10" t="s">
        <v>37</v>
      </c>
      <c r="W4" s="10" t="s">
        <v>33</v>
      </c>
      <c r="X4" s="10" t="s">
        <v>34</v>
      </c>
      <c r="Y4" s="10" t="s">
        <v>35</v>
      </c>
      <c r="Z4" s="10" t="s">
        <v>36</v>
      </c>
      <c r="AA4" s="10" t="s">
        <v>5</v>
      </c>
    </row>
    <row r="5" spans="2:27" ht="14.25" thickBot="1">
      <c r="B5" s="17">
        <v>39738</v>
      </c>
      <c r="C5" s="2">
        <f>+B2*365</f>
        <v>0.05474999999999999</v>
      </c>
      <c r="D5" s="6"/>
      <c r="E5" t="s">
        <v>8</v>
      </c>
      <c r="F5" s="11"/>
      <c r="G5">
        <v>0</v>
      </c>
      <c r="J5" s="11" t="s">
        <v>10</v>
      </c>
      <c r="K5" t="s">
        <v>11</v>
      </c>
      <c r="V5" s="11" t="s">
        <v>459</v>
      </c>
      <c r="Z5" s="24">
        <f>+$R$671</f>
        <v>40191</v>
      </c>
      <c r="AA5" s="11" t="s">
        <v>10</v>
      </c>
    </row>
    <row r="6" spans="2:28" ht="13.5">
      <c r="B6" s="17">
        <v>39803</v>
      </c>
      <c r="C6" s="1" t="s">
        <v>12</v>
      </c>
      <c r="D6" s="6"/>
      <c r="E6" s="7">
        <v>314221</v>
      </c>
      <c r="F6" s="15">
        <f aca="true" t="shared" si="0" ref="F6:F16">+F5+D6-E6</f>
        <v>-314221</v>
      </c>
      <c r="G6" s="4">
        <f>+B6-B5</f>
        <v>65</v>
      </c>
      <c r="H6" s="9">
        <v>3147</v>
      </c>
      <c r="I6" s="6"/>
      <c r="J6" s="11" t="s">
        <v>10</v>
      </c>
      <c r="K6" s="7"/>
      <c r="L6" s="7"/>
      <c r="N6" s="3">
        <v>39814</v>
      </c>
      <c r="O6" t="s">
        <v>16</v>
      </c>
      <c r="P6" s="6">
        <v>600000</v>
      </c>
      <c r="Q6" s="6"/>
      <c r="R6" s="6">
        <f aca="true" t="shared" si="1" ref="R6:R12">+R5+P6-Q6</f>
        <v>600000</v>
      </c>
      <c r="S6" s="11" t="s">
        <v>10</v>
      </c>
      <c r="V6" s="3">
        <v>40179</v>
      </c>
      <c r="X6" s="6"/>
      <c r="Y6" s="6"/>
      <c r="Z6" s="6">
        <f>+Z5+X6-Y6</f>
        <v>40191</v>
      </c>
      <c r="AA6" s="11" t="s">
        <v>10</v>
      </c>
      <c r="AB6" s="7">
        <f aca="true" t="shared" si="2" ref="AB6:AB37">+Z6/(40210-V6)</f>
        <v>1296.483870967742</v>
      </c>
    </row>
    <row r="7" spans="2:28" ht="13.5">
      <c r="B7" s="17">
        <v>39866</v>
      </c>
      <c r="D7" s="6">
        <f aca="true" t="shared" si="3" ref="D7:D16">+I7</f>
        <v>21030.61155</v>
      </c>
      <c r="E7" s="7"/>
      <c r="F7" s="16">
        <f t="shared" si="0"/>
        <v>-293190.38844999997</v>
      </c>
      <c r="G7" s="4">
        <f>+B7-B6</f>
        <v>63</v>
      </c>
      <c r="H7" s="6">
        <f aca="true" t="shared" si="4" ref="H7:H16">-F6*($B$2*G7)</f>
        <v>2969.3884499999995</v>
      </c>
      <c r="I7" s="6">
        <f aca="true" t="shared" si="5" ref="I7:I16">+K7-H7</f>
        <v>21030.61155</v>
      </c>
      <c r="J7" s="11" t="s">
        <v>10</v>
      </c>
      <c r="K7" s="6">
        <v>24000</v>
      </c>
      <c r="L7" s="6"/>
      <c r="P7" s="6"/>
      <c r="Q7" s="6">
        <f>600000-6400-2</f>
        <v>593598</v>
      </c>
      <c r="R7" s="6">
        <f t="shared" si="1"/>
        <v>6402</v>
      </c>
      <c r="S7" s="11" t="s">
        <v>10</v>
      </c>
      <c r="V7" s="3">
        <v>40181</v>
      </c>
      <c r="W7" t="s">
        <v>486</v>
      </c>
      <c r="X7" s="6"/>
      <c r="Y7" s="6">
        <f>300*10</f>
        <v>3000</v>
      </c>
      <c r="Z7" s="6">
        <f aca="true" t="shared" si="6" ref="Z7:Z41">+Z6+X7-Y7</f>
        <v>37191</v>
      </c>
      <c r="AA7" s="11" t="s">
        <v>10</v>
      </c>
      <c r="AB7" s="7">
        <f t="shared" si="2"/>
        <v>1282.448275862069</v>
      </c>
    </row>
    <row r="8" spans="2:28" ht="13.5">
      <c r="B8" s="17">
        <v>39922</v>
      </c>
      <c r="C8" s="12" t="s">
        <v>13</v>
      </c>
      <c r="D8" s="6">
        <f t="shared" si="3"/>
        <v>12537.20073702</v>
      </c>
      <c r="E8" s="7"/>
      <c r="F8" s="16">
        <f t="shared" si="0"/>
        <v>-280653.18771297997</v>
      </c>
      <c r="G8" s="4">
        <f>+B8-B7</f>
        <v>56</v>
      </c>
      <c r="H8" s="6">
        <f t="shared" si="4"/>
        <v>2462.7992629799996</v>
      </c>
      <c r="I8" s="6">
        <f t="shared" si="5"/>
        <v>12537.20073702</v>
      </c>
      <c r="J8" s="11" t="s">
        <v>10</v>
      </c>
      <c r="K8" s="6">
        <v>15000</v>
      </c>
      <c r="L8" s="6"/>
      <c r="N8" s="3">
        <v>39971</v>
      </c>
      <c r="P8" s="6"/>
      <c r="Q8" s="6"/>
      <c r="R8" s="6">
        <f t="shared" si="1"/>
        <v>6402</v>
      </c>
      <c r="S8" s="11" t="s">
        <v>10</v>
      </c>
      <c r="V8" s="3">
        <v>40181</v>
      </c>
      <c r="W8" t="s">
        <v>487</v>
      </c>
      <c r="X8" s="6"/>
      <c r="Y8" s="6">
        <v>100</v>
      </c>
      <c r="Z8" s="6">
        <f t="shared" si="6"/>
        <v>37091</v>
      </c>
      <c r="AA8" s="11" t="s">
        <v>10</v>
      </c>
      <c r="AB8" s="7">
        <f t="shared" si="2"/>
        <v>1279</v>
      </c>
    </row>
    <row r="9" spans="2:28" ht="13.5">
      <c r="B9" s="17">
        <v>39978</v>
      </c>
      <c r="C9" s="12" t="s">
        <v>14</v>
      </c>
      <c r="D9" s="6">
        <f t="shared" si="3"/>
        <v>0</v>
      </c>
      <c r="E9" s="7"/>
      <c r="F9" s="16">
        <f t="shared" si="0"/>
        <v>-280653.18771297997</v>
      </c>
      <c r="G9" s="4"/>
      <c r="H9" s="6">
        <f t="shared" si="4"/>
        <v>0</v>
      </c>
      <c r="I9" s="6">
        <f t="shared" si="5"/>
        <v>0</v>
      </c>
      <c r="J9" s="11" t="s">
        <v>10</v>
      </c>
      <c r="K9" s="6">
        <v>0</v>
      </c>
      <c r="L9" s="6"/>
      <c r="N9" s="3">
        <v>39972</v>
      </c>
      <c r="O9" t="s">
        <v>17</v>
      </c>
      <c r="P9" s="6"/>
      <c r="Q9" s="6">
        <v>1096</v>
      </c>
      <c r="R9" s="6">
        <f t="shared" si="1"/>
        <v>5306</v>
      </c>
      <c r="S9" s="11" t="s">
        <v>10</v>
      </c>
      <c r="V9" s="3">
        <v>40181</v>
      </c>
      <c r="W9" t="s">
        <v>40</v>
      </c>
      <c r="X9" s="6"/>
      <c r="Y9" s="6">
        <v>267</v>
      </c>
      <c r="Z9" s="6">
        <f t="shared" si="6"/>
        <v>36824</v>
      </c>
      <c r="AA9" s="11" t="s">
        <v>10</v>
      </c>
      <c r="AB9" s="7">
        <f t="shared" si="2"/>
        <v>1269.7931034482758</v>
      </c>
    </row>
    <row r="10" spans="2:28" ht="13.5">
      <c r="B10" s="17">
        <v>39985</v>
      </c>
      <c r="C10" s="1" t="s">
        <v>15</v>
      </c>
      <c r="D10" s="6">
        <f t="shared" si="3"/>
        <v>15347.82737611234</v>
      </c>
      <c r="E10" s="7">
        <v>50000</v>
      </c>
      <c r="F10" s="16">
        <f t="shared" si="0"/>
        <v>-315305.3603368676</v>
      </c>
      <c r="G10" s="4">
        <f>+B10-B8</f>
        <v>63</v>
      </c>
      <c r="H10" s="6">
        <f t="shared" si="4"/>
        <v>2652.1726238876604</v>
      </c>
      <c r="I10" s="6">
        <f t="shared" si="5"/>
        <v>15347.82737611234</v>
      </c>
      <c r="J10" s="11" t="s">
        <v>10</v>
      </c>
      <c r="K10" s="6">
        <v>18000</v>
      </c>
      <c r="L10" s="6"/>
      <c r="N10" s="3">
        <v>39972</v>
      </c>
      <c r="O10" t="s">
        <v>18</v>
      </c>
      <c r="P10" s="6"/>
      <c r="Q10" s="6">
        <v>315</v>
      </c>
      <c r="R10" s="6">
        <f t="shared" si="1"/>
        <v>4991</v>
      </c>
      <c r="S10" s="11" t="s">
        <v>10</v>
      </c>
      <c r="V10" s="3">
        <v>40181</v>
      </c>
      <c r="W10" t="s">
        <v>488</v>
      </c>
      <c r="X10" s="6"/>
      <c r="Y10" s="6">
        <v>138</v>
      </c>
      <c r="Z10" s="6">
        <f t="shared" si="6"/>
        <v>36686</v>
      </c>
      <c r="AA10" s="11" t="s">
        <v>10</v>
      </c>
      <c r="AB10" s="7">
        <f t="shared" si="2"/>
        <v>1265.0344827586207</v>
      </c>
    </row>
    <row r="11" spans="2:28" ht="13.5">
      <c r="B11" s="17">
        <v>40041</v>
      </c>
      <c r="C11" s="1"/>
      <c r="D11" s="6">
        <f t="shared" si="3"/>
        <v>32351.43497317031</v>
      </c>
      <c r="E11" s="7"/>
      <c r="F11" s="16">
        <f t="shared" si="0"/>
        <v>-282953.92536369734</v>
      </c>
      <c r="G11" s="4">
        <f aca="true" t="shared" si="7" ref="G11:G16">+B11-B10</f>
        <v>56</v>
      </c>
      <c r="H11" s="6">
        <f t="shared" si="4"/>
        <v>2648.565026829688</v>
      </c>
      <c r="I11" s="6">
        <f t="shared" si="5"/>
        <v>32351.43497317031</v>
      </c>
      <c r="J11" s="11" t="s">
        <v>10</v>
      </c>
      <c r="K11" s="6">
        <v>35000</v>
      </c>
      <c r="L11" s="6"/>
      <c r="N11" s="3">
        <v>39972</v>
      </c>
      <c r="O11" t="s">
        <v>38</v>
      </c>
      <c r="P11" s="6"/>
      <c r="Q11" s="6">
        <v>220</v>
      </c>
      <c r="R11" s="6">
        <f t="shared" si="1"/>
        <v>4771</v>
      </c>
      <c r="S11" s="11" t="s">
        <v>10</v>
      </c>
      <c r="V11" s="3">
        <v>40181</v>
      </c>
      <c r="W11" t="s">
        <v>243</v>
      </c>
      <c r="Y11" s="7">
        <f>228+268</f>
        <v>496</v>
      </c>
      <c r="Z11" s="6">
        <f t="shared" si="6"/>
        <v>36190</v>
      </c>
      <c r="AA11" s="11" t="s">
        <v>10</v>
      </c>
      <c r="AB11" s="7">
        <f t="shared" si="2"/>
        <v>1247.9310344827586</v>
      </c>
    </row>
    <row r="12" spans="1:28" ht="13.5">
      <c r="A12" t="s">
        <v>708</v>
      </c>
      <c r="B12" s="17">
        <v>40104</v>
      </c>
      <c r="C12" s="12"/>
      <c r="D12" s="6">
        <f t="shared" si="3"/>
        <v>32326.08540531306</v>
      </c>
      <c r="E12" s="7"/>
      <c r="F12" s="16">
        <f t="shared" si="0"/>
        <v>-250627.83995838428</v>
      </c>
      <c r="G12" s="4">
        <f t="shared" si="7"/>
        <v>63</v>
      </c>
      <c r="H12" s="6">
        <f t="shared" si="4"/>
        <v>2673.9145946869394</v>
      </c>
      <c r="I12" s="6">
        <f t="shared" si="5"/>
        <v>32326.08540531306</v>
      </c>
      <c r="J12" s="11" t="s">
        <v>10</v>
      </c>
      <c r="K12" s="6">
        <v>35000</v>
      </c>
      <c r="L12" s="6"/>
      <c r="N12" s="3">
        <v>39972</v>
      </c>
      <c r="O12" t="s">
        <v>39</v>
      </c>
      <c r="P12" s="6"/>
      <c r="Q12" s="6">
        <v>195</v>
      </c>
      <c r="R12" s="6">
        <f t="shared" si="1"/>
        <v>4576</v>
      </c>
      <c r="S12" s="11" t="s">
        <v>10</v>
      </c>
      <c r="V12" s="3">
        <v>40181</v>
      </c>
      <c r="W12" t="s">
        <v>489</v>
      </c>
      <c r="Y12" s="7">
        <f>178-30</f>
        <v>148</v>
      </c>
      <c r="Z12" s="6">
        <f t="shared" si="6"/>
        <v>36042</v>
      </c>
      <c r="AA12" s="11" t="s">
        <v>10</v>
      </c>
      <c r="AB12" s="7">
        <f t="shared" si="2"/>
        <v>1242.8275862068965</v>
      </c>
    </row>
    <row r="13" spans="1:28" ht="13.5">
      <c r="A13" s="11" t="s">
        <v>573</v>
      </c>
      <c r="B13" s="17">
        <v>40167</v>
      </c>
      <c r="C13" s="12"/>
      <c r="D13" s="6">
        <f t="shared" si="3"/>
        <v>32631.566912393268</v>
      </c>
      <c r="E13" s="7"/>
      <c r="F13" s="16">
        <f t="shared" si="0"/>
        <v>-217996.27304599102</v>
      </c>
      <c r="G13" s="4">
        <f t="shared" si="7"/>
        <v>63</v>
      </c>
      <c r="H13" s="6">
        <f t="shared" si="4"/>
        <v>2368.433087606731</v>
      </c>
      <c r="I13" s="6">
        <f t="shared" si="5"/>
        <v>32631.566912393268</v>
      </c>
      <c r="J13" s="11" t="s">
        <v>10</v>
      </c>
      <c r="K13" s="6">
        <v>35000</v>
      </c>
      <c r="L13" s="6"/>
      <c r="N13" s="3">
        <v>39974</v>
      </c>
      <c r="O13" t="s">
        <v>40</v>
      </c>
      <c r="P13" s="6"/>
      <c r="Q13" s="6">
        <v>120</v>
      </c>
      <c r="R13" s="6">
        <f aca="true" t="shared" si="8" ref="R13:R19">+R12+P13-Q13</f>
        <v>4456</v>
      </c>
      <c r="S13" s="11" t="s">
        <v>10</v>
      </c>
      <c r="V13" s="3">
        <v>40181</v>
      </c>
      <c r="W13" t="s">
        <v>490</v>
      </c>
      <c r="Y13" s="7">
        <v>4</v>
      </c>
      <c r="Z13" s="6">
        <f t="shared" si="6"/>
        <v>36038</v>
      </c>
      <c r="AA13" s="11" t="s">
        <v>10</v>
      </c>
      <c r="AB13" s="7">
        <f t="shared" si="2"/>
        <v>1242.6896551724137</v>
      </c>
    </row>
    <row r="14" spans="1:28" ht="13.5">
      <c r="A14" s="16">
        <v>100000</v>
      </c>
      <c r="B14" s="17">
        <v>40230</v>
      </c>
      <c r="C14" s="29" t="s">
        <v>587</v>
      </c>
      <c r="D14" s="6">
        <f t="shared" si="3"/>
        <v>2939.9352197153853</v>
      </c>
      <c r="E14" s="7"/>
      <c r="F14" s="16">
        <f t="shared" si="0"/>
        <v>-215056.33782627565</v>
      </c>
      <c r="G14" s="4">
        <f t="shared" si="7"/>
        <v>63</v>
      </c>
      <c r="H14" s="6">
        <f t="shared" si="4"/>
        <v>2060.0647802846147</v>
      </c>
      <c r="I14" s="6">
        <f t="shared" si="5"/>
        <v>2939.9352197153853</v>
      </c>
      <c r="J14" s="11" t="s">
        <v>10</v>
      </c>
      <c r="K14" s="6">
        <v>5000</v>
      </c>
      <c r="L14" t="s">
        <v>579</v>
      </c>
      <c r="N14" s="3">
        <v>39976</v>
      </c>
      <c r="O14" t="s">
        <v>17</v>
      </c>
      <c r="P14" s="6"/>
      <c r="Q14" s="6">
        <v>1096</v>
      </c>
      <c r="R14" s="6">
        <f t="shared" si="8"/>
        <v>3360</v>
      </c>
      <c r="S14" s="11" t="s">
        <v>10</v>
      </c>
      <c r="V14" s="3">
        <v>40182</v>
      </c>
      <c r="W14" t="s">
        <v>107</v>
      </c>
      <c r="Y14" s="7">
        <v>330</v>
      </c>
      <c r="Z14" s="6">
        <f t="shared" si="6"/>
        <v>35708</v>
      </c>
      <c r="AA14" s="11" t="s">
        <v>10</v>
      </c>
      <c r="AB14" s="7">
        <f t="shared" si="2"/>
        <v>1275.2857142857142</v>
      </c>
    </row>
    <row r="15" spans="1:28" ht="13.5">
      <c r="A15" s="7">
        <f>-(+L15-K15)</f>
        <v>0</v>
      </c>
      <c r="B15" s="3">
        <v>40286</v>
      </c>
      <c r="C15" s="1"/>
      <c r="D15" s="6">
        <f t="shared" si="3"/>
        <v>10193.526762259284</v>
      </c>
      <c r="E15" s="7"/>
      <c r="F15" s="16">
        <f t="shared" si="0"/>
        <v>-204862.81106401636</v>
      </c>
      <c r="G15" s="4">
        <f t="shared" si="7"/>
        <v>56</v>
      </c>
      <c r="H15" s="6">
        <f t="shared" si="4"/>
        <v>1806.4732377407154</v>
      </c>
      <c r="I15" s="6">
        <f t="shared" si="5"/>
        <v>10193.526762259284</v>
      </c>
      <c r="J15" s="11" t="s">
        <v>10</v>
      </c>
      <c r="K15" s="7">
        <v>12000</v>
      </c>
      <c r="L15" s="7">
        <v>12000</v>
      </c>
      <c r="M15" s="7"/>
      <c r="N15" s="3">
        <v>39976</v>
      </c>
      <c r="O15" t="s">
        <v>40</v>
      </c>
      <c r="P15" s="6"/>
      <c r="Q15" s="6">
        <v>120</v>
      </c>
      <c r="R15" s="6">
        <f t="shared" si="8"/>
        <v>3240</v>
      </c>
      <c r="S15" s="11" t="s">
        <v>10</v>
      </c>
      <c r="V15" s="3">
        <v>40182</v>
      </c>
      <c r="W15" t="s">
        <v>491</v>
      </c>
      <c r="Y15" s="7">
        <v>120</v>
      </c>
      <c r="Z15" s="6">
        <f t="shared" si="6"/>
        <v>35588</v>
      </c>
      <c r="AA15" s="11" t="s">
        <v>10</v>
      </c>
      <c r="AB15" s="7">
        <f t="shared" si="2"/>
        <v>1271</v>
      </c>
    </row>
    <row r="16" spans="1:28" ht="13.5">
      <c r="A16" s="7">
        <f>-(+L16-K16)</f>
        <v>0</v>
      </c>
      <c r="B16" s="3">
        <v>40300</v>
      </c>
      <c r="C16" s="33" t="s">
        <v>707</v>
      </c>
      <c r="D16" s="31">
        <f t="shared" si="3"/>
        <v>4569.788096765566</v>
      </c>
      <c r="E16" s="24"/>
      <c r="F16" s="24">
        <f t="shared" si="0"/>
        <v>-200293.02296725078</v>
      </c>
      <c r="G16" s="32">
        <f t="shared" si="7"/>
        <v>14</v>
      </c>
      <c r="H16" s="31">
        <f t="shared" si="4"/>
        <v>430.2119032344343</v>
      </c>
      <c r="I16" s="31">
        <f t="shared" si="5"/>
        <v>4569.788096765566</v>
      </c>
      <c r="J16" s="11" t="s">
        <v>10</v>
      </c>
      <c r="K16" s="24">
        <v>5000</v>
      </c>
      <c r="L16" s="24">
        <v>5000</v>
      </c>
      <c r="M16" s="7"/>
      <c r="N16" s="3">
        <v>39978</v>
      </c>
      <c r="O16" t="s">
        <v>20</v>
      </c>
      <c r="P16" s="6"/>
      <c r="Q16" s="6">
        <f>2937-16</f>
        <v>2921</v>
      </c>
      <c r="R16" s="6">
        <f t="shared" si="8"/>
        <v>319</v>
      </c>
      <c r="S16" s="11" t="s">
        <v>10</v>
      </c>
      <c r="V16" s="3">
        <v>40182</v>
      </c>
      <c r="W16" t="s">
        <v>120</v>
      </c>
      <c r="Y16" s="7">
        <v>996</v>
      </c>
      <c r="Z16" s="6">
        <f t="shared" si="6"/>
        <v>34592</v>
      </c>
      <c r="AA16" s="11" t="s">
        <v>10</v>
      </c>
      <c r="AB16" s="7">
        <f t="shared" si="2"/>
        <v>1235.4285714285713</v>
      </c>
    </row>
    <row r="17" spans="1:28" ht="13.5">
      <c r="A17" s="7">
        <f aca="true" t="shared" si="9" ref="A17:A23">-(+L17-K17)</f>
        <v>-6000</v>
      </c>
      <c r="B17" s="3">
        <v>40349</v>
      </c>
      <c r="C17" s="1"/>
      <c r="D17" s="6">
        <f aca="true" t="shared" si="10" ref="D17:D56">+I17</f>
        <v>22527.84628119071</v>
      </c>
      <c r="E17" s="7"/>
      <c r="F17" s="8">
        <f aca="true" t="shared" si="11" ref="F17:F56">+F16+D17-E17</f>
        <v>-177765.1766860601</v>
      </c>
      <c r="G17" s="4">
        <f aca="true" t="shared" si="12" ref="G17:G56">+B17-B16</f>
        <v>49</v>
      </c>
      <c r="H17" s="6">
        <f aca="true" t="shared" si="13" ref="H17:H56">-F16*($B$2*G17)</f>
        <v>1472.1537188092932</v>
      </c>
      <c r="I17" s="6">
        <f aca="true" t="shared" si="14" ref="I17:I56">+K17-H17</f>
        <v>22527.84628119071</v>
      </c>
      <c r="K17" s="7">
        <v>24000</v>
      </c>
      <c r="L17" s="7">
        <v>30000</v>
      </c>
      <c r="M17" s="7"/>
      <c r="N17" s="3">
        <v>39979</v>
      </c>
      <c r="O17" t="s">
        <v>21</v>
      </c>
      <c r="P17" s="6">
        <v>160000</v>
      </c>
      <c r="Q17" s="6"/>
      <c r="R17" s="6">
        <f t="shared" si="8"/>
        <v>160319</v>
      </c>
      <c r="S17" s="11" t="s">
        <v>10</v>
      </c>
      <c r="V17" s="3">
        <v>40182</v>
      </c>
      <c r="W17" t="s">
        <v>492</v>
      </c>
      <c r="Y17" s="7">
        <f>105*2</f>
        <v>210</v>
      </c>
      <c r="Z17" s="6">
        <f t="shared" si="6"/>
        <v>34382</v>
      </c>
      <c r="AA17" s="11" t="s">
        <v>10</v>
      </c>
      <c r="AB17" s="7">
        <f t="shared" si="2"/>
        <v>1227.9285714285713</v>
      </c>
    </row>
    <row r="18" spans="1:28" ht="13.5">
      <c r="A18" s="7">
        <f t="shared" si="9"/>
        <v>-6000</v>
      </c>
      <c r="B18" s="3">
        <v>40412</v>
      </c>
      <c r="C18" s="1"/>
      <c r="D18" s="6">
        <f t="shared" si="10"/>
        <v>22320.119080316734</v>
      </c>
      <c r="E18" s="7"/>
      <c r="F18" s="8">
        <f t="shared" si="11"/>
        <v>-155445.05760574335</v>
      </c>
      <c r="G18" s="4">
        <f t="shared" si="12"/>
        <v>63</v>
      </c>
      <c r="H18" s="6">
        <f t="shared" si="13"/>
        <v>1679.8809196832676</v>
      </c>
      <c r="I18" s="6">
        <f t="shared" si="14"/>
        <v>22320.119080316734</v>
      </c>
      <c r="K18" s="7">
        <v>24000</v>
      </c>
      <c r="L18" s="7">
        <v>30000</v>
      </c>
      <c r="M18" s="7"/>
      <c r="N18" s="3">
        <v>39979</v>
      </c>
      <c r="O18" t="s">
        <v>99</v>
      </c>
      <c r="P18" s="6"/>
      <c r="Q18" s="6">
        <v>15000</v>
      </c>
      <c r="R18" s="6">
        <f t="shared" si="8"/>
        <v>145319</v>
      </c>
      <c r="S18" s="11" t="s">
        <v>10</v>
      </c>
      <c r="V18" s="3">
        <v>40182</v>
      </c>
      <c r="W18" t="s">
        <v>493</v>
      </c>
      <c r="Y18" s="7">
        <v>105</v>
      </c>
      <c r="Z18" s="6">
        <f t="shared" si="6"/>
        <v>34277</v>
      </c>
      <c r="AA18" s="11" t="s">
        <v>10</v>
      </c>
      <c r="AB18" s="7">
        <f t="shared" si="2"/>
        <v>1224.1785714285713</v>
      </c>
    </row>
    <row r="19" spans="1:28" ht="13.5">
      <c r="A19" s="7">
        <f t="shared" si="9"/>
        <v>-6000</v>
      </c>
      <c r="B19" s="3">
        <v>40469</v>
      </c>
      <c r="C19" s="1"/>
      <c r="D19" s="6">
        <f t="shared" si="10"/>
        <v>22670.944757470894</v>
      </c>
      <c r="E19" s="7"/>
      <c r="F19" s="8">
        <f t="shared" si="11"/>
        <v>-132774.11284827246</v>
      </c>
      <c r="G19" s="4">
        <f t="shared" si="12"/>
        <v>57</v>
      </c>
      <c r="H19" s="6">
        <f t="shared" si="13"/>
        <v>1329.0552425291055</v>
      </c>
      <c r="I19" s="6">
        <f t="shared" si="14"/>
        <v>22670.944757470894</v>
      </c>
      <c r="K19" s="7">
        <v>24000</v>
      </c>
      <c r="L19" s="7">
        <v>30000</v>
      </c>
      <c r="M19" s="7"/>
      <c r="N19" s="3">
        <v>39979</v>
      </c>
      <c r="O19" t="s">
        <v>55</v>
      </c>
      <c r="P19" s="6"/>
      <c r="Q19" s="6">
        <v>780</v>
      </c>
      <c r="R19" s="6">
        <f t="shared" si="8"/>
        <v>144539</v>
      </c>
      <c r="S19" s="11" t="s">
        <v>10</v>
      </c>
      <c r="V19" s="3">
        <v>40182</v>
      </c>
      <c r="W19" t="s">
        <v>494</v>
      </c>
      <c r="Y19" s="7">
        <f>105*2</f>
        <v>210</v>
      </c>
      <c r="Z19" s="6">
        <f t="shared" si="6"/>
        <v>34067</v>
      </c>
      <c r="AA19" s="11" t="s">
        <v>10</v>
      </c>
      <c r="AB19" s="7">
        <f t="shared" si="2"/>
        <v>1216.6785714285713</v>
      </c>
    </row>
    <row r="20" spans="1:28" ht="13.5">
      <c r="A20" s="7">
        <f t="shared" si="9"/>
        <v>-6000</v>
      </c>
      <c r="B20" s="3">
        <v>40532</v>
      </c>
      <c r="C20" s="1"/>
      <c r="D20" s="6">
        <f t="shared" si="10"/>
        <v>22745.284633583826</v>
      </c>
      <c r="E20" s="7"/>
      <c r="F20" s="8">
        <f t="shared" si="11"/>
        <v>-110028.82821468863</v>
      </c>
      <c r="G20" s="4">
        <f t="shared" si="12"/>
        <v>63</v>
      </c>
      <c r="H20" s="6">
        <f t="shared" si="13"/>
        <v>1254.7153664161744</v>
      </c>
      <c r="I20" s="6">
        <f t="shared" si="14"/>
        <v>22745.284633583826</v>
      </c>
      <c r="K20" s="7">
        <v>24000</v>
      </c>
      <c r="L20" s="7">
        <v>30000</v>
      </c>
      <c r="M20" s="7"/>
      <c r="N20" s="3">
        <v>39979</v>
      </c>
      <c r="O20" t="s">
        <v>47</v>
      </c>
      <c r="P20" s="6"/>
      <c r="Q20" s="6">
        <f>1990+3974</f>
        <v>5964</v>
      </c>
      <c r="R20" s="6">
        <f aca="true" t="shared" si="15" ref="R20:R27">+R19+P20-Q20</f>
        <v>138575</v>
      </c>
      <c r="S20" s="11" t="s">
        <v>10</v>
      </c>
      <c r="V20" s="3">
        <v>40182</v>
      </c>
      <c r="W20" t="s">
        <v>126</v>
      </c>
      <c r="Y20" s="7">
        <v>105</v>
      </c>
      <c r="Z20" s="6">
        <f t="shared" si="6"/>
        <v>33962</v>
      </c>
      <c r="AA20" s="11" t="s">
        <v>10</v>
      </c>
      <c r="AB20" s="7">
        <f t="shared" si="2"/>
        <v>1212.9285714285713</v>
      </c>
    </row>
    <row r="21" spans="1:28" ht="13.5">
      <c r="A21" s="7">
        <f t="shared" si="9"/>
        <v>-6000</v>
      </c>
      <c r="B21" s="3">
        <v>40594</v>
      </c>
      <c r="C21" s="1"/>
      <c r="D21" s="6">
        <f t="shared" si="10"/>
        <v>22976.731897603397</v>
      </c>
      <c r="E21" s="7"/>
      <c r="F21" s="8">
        <f t="shared" si="11"/>
        <v>-87052.09631708523</v>
      </c>
      <c r="G21" s="4">
        <f t="shared" si="12"/>
        <v>62</v>
      </c>
      <c r="H21" s="6">
        <f t="shared" si="13"/>
        <v>1023.2681023966043</v>
      </c>
      <c r="I21" s="6">
        <f t="shared" si="14"/>
        <v>22976.731897603397</v>
      </c>
      <c r="K21" s="7">
        <v>24000</v>
      </c>
      <c r="L21" s="7">
        <v>30000</v>
      </c>
      <c r="M21" s="7"/>
      <c r="N21" s="3">
        <v>39979</v>
      </c>
      <c r="O21" t="s">
        <v>46</v>
      </c>
      <c r="P21" s="6"/>
      <c r="Q21" s="6">
        <v>4142</v>
      </c>
      <c r="R21" s="6">
        <f t="shared" si="15"/>
        <v>134433</v>
      </c>
      <c r="S21" s="11" t="s">
        <v>10</v>
      </c>
      <c r="V21" s="3">
        <v>40182</v>
      </c>
      <c r="W21" t="s">
        <v>495</v>
      </c>
      <c r="Y21" s="7">
        <v>105</v>
      </c>
      <c r="Z21" s="6">
        <f t="shared" si="6"/>
        <v>33857</v>
      </c>
      <c r="AA21" s="11" t="s">
        <v>10</v>
      </c>
      <c r="AB21" s="7">
        <f t="shared" si="2"/>
        <v>1209.1785714285713</v>
      </c>
    </row>
    <row r="22" spans="1:28" ht="13.5">
      <c r="A22" s="7">
        <f t="shared" si="9"/>
        <v>-6000</v>
      </c>
      <c r="B22" s="3">
        <v>40650</v>
      </c>
      <c r="C22" s="1"/>
      <c r="D22" s="6">
        <f t="shared" si="10"/>
        <v>23268.762390936485</v>
      </c>
      <c r="E22" s="7"/>
      <c r="F22" s="8">
        <f t="shared" si="11"/>
        <v>-63783.33392614875</v>
      </c>
      <c r="G22" s="4">
        <f t="shared" si="12"/>
        <v>56</v>
      </c>
      <c r="H22" s="6">
        <f t="shared" si="13"/>
        <v>731.237609063516</v>
      </c>
      <c r="I22" s="6">
        <f t="shared" si="14"/>
        <v>23268.762390936485</v>
      </c>
      <c r="K22" s="7">
        <v>24000</v>
      </c>
      <c r="L22" s="7">
        <v>30000</v>
      </c>
      <c r="M22" s="7"/>
      <c r="N22" s="3">
        <v>39979</v>
      </c>
      <c r="O22" t="s">
        <v>49</v>
      </c>
      <c r="P22" s="6"/>
      <c r="Q22" s="6">
        <f>137+126</f>
        <v>263</v>
      </c>
      <c r="R22" s="6">
        <f t="shared" si="15"/>
        <v>134170</v>
      </c>
      <c r="S22" s="11" t="s">
        <v>10</v>
      </c>
      <c r="V22" s="3">
        <v>40182</v>
      </c>
      <c r="W22" t="s">
        <v>192</v>
      </c>
      <c r="Y22" s="7">
        <v>105</v>
      </c>
      <c r="Z22" s="6">
        <f t="shared" si="6"/>
        <v>33752</v>
      </c>
      <c r="AA22" s="11" t="s">
        <v>10</v>
      </c>
      <c r="AB22" s="7">
        <f t="shared" si="2"/>
        <v>1205.4285714285713</v>
      </c>
    </row>
    <row r="23" spans="1:28" ht="13.5">
      <c r="A23" s="7">
        <f t="shared" si="9"/>
        <v>-6000</v>
      </c>
      <c r="B23" s="3">
        <v>40713</v>
      </c>
      <c r="C23" s="1"/>
      <c r="D23" s="6">
        <f t="shared" si="10"/>
        <v>23397.247494397896</v>
      </c>
      <c r="E23" s="7"/>
      <c r="F23" s="8">
        <f t="shared" si="11"/>
        <v>-40386.08643175085</v>
      </c>
      <c r="G23" s="4">
        <f t="shared" si="12"/>
        <v>63</v>
      </c>
      <c r="H23" s="6">
        <f t="shared" si="13"/>
        <v>602.7525056021055</v>
      </c>
      <c r="I23" s="6">
        <f t="shared" si="14"/>
        <v>23397.247494397896</v>
      </c>
      <c r="K23" s="7">
        <v>24000</v>
      </c>
      <c r="L23" s="7">
        <v>30000</v>
      </c>
      <c r="N23" s="3">
        <v>39979</v>
      </c>
      <c r="O23" t="s">
        <v>27</v>
      </c>
      <c r="P23" s="6"/>
      <c r="Q23" s="6">
        <f>3423+5919</f>
        <v>9342</v>
      </c>
      <c r="R23" s="6">
        <f t="shared" si="15"/>
        <v>124828</v>
      </c>
      <c r="S23" s="11" t="s">
        <v>10</v>
      </c>
      <c r="V23" s="3">
        <v>40184</v>
      </c>
      <c r="W23" t="s">
        <v>499</v>
      </c>
      <c r="Y23" s="7">
        <v>800</v>
      </c>
      <c r="Z23" s="6">
        <f t="shared" si="6"/>
        <v>32952</v>
      </c>
      <c r="AA23" s="11" t="s">
        <v>10</v>
      </c>
      <c r="AB23" s="7">
        <f t="shared" si="2"/>
        <v>1267.3846153846155</v>
      </c>
    </row>
    <row r="24" spans="1:28" ht="13.5">
      <c r="A24" s="11" t="s">
        <v>577</v>
      </c>
      <c r="B24" s="3">
        <v>40776</v>
      </c>
      <c r="D24" s="6">
        <f t="shared" si="10"/>
        <v>23618.351483219954</v>
      </c>
      <c r="E24" s="7"/>
      <c r="F24" s="8">
        <f t="shared" si="11"/>
        <v>-16767.7349485309</v>
      </c>
      <c r="G24" s="4">
        <f t="shared" si="12"/>
        <v>63</v>
      </c>
      <c r="H24" s="6">
        <f t="shared" si="13"/>
        <v>381.6485167800455</v>
      </c>
      <c r="I24" s="6">
        <f t="shared" si="14"/>
        <v>23618.351483219954</v>
      </c>
      <c r="K24" s="7">
        <v>24000</v>
      </c>
      <c r="L24" s="7">
        <v>30000</v>
      </c>
      <c r="N24" s="3">
        <v>39979</v>
      </c>
      <c r="O24" t="s">
        <v>52</v>
      </c>
      <c r="Q24" s="7">
        <f>5328+3589+3141</f>
        <v>12058</v>
      </c>
      <c r="R24" s="6">
        <f t="shared" si="15"/>
        <v>112770</v>
      </c>
      <c r="S24" s="11" t="s">
        <v>10</v>
      </c>
      <c r="V24" s="3">
        <v>40184</v>
      </c>
      <c r="W24" t="s">
        <v>496</v>
      </c>
      <c r="Y24" s="7">
        <f>680*2</f>
        <v>1360</v>
      </c>
      <c r="Z24" s="6">
        <f t="shared" si="6"/>
        <v>31592</v>
      </c>
      <c r="AA24" s="11" t="s">
        <v>10</v>
      </c>
      <c r="AB24" s="7">
        <f t="shared" si="2"/>
        <v>1215.076923076923</v>
      </c>
    </row>
    <row r="25" spans="1:28" ht="13.5">
      <c r="A25" s="16">
        <v>100000</v>
      </c>
      <c r="B25" s="3">
        <v>40832</v>
      </c>
      <c r="C25" s="29" t="s">
        <v>577</v>
      </c>
      <c r="D25" s="6">
        <f t="shared" si="10"/>
        <v>16768.15102643234</v>
      </c>
      <c r="E25" s="7"/>
      <c r="F25" s="8">
        <f t="shared" si="11"/>
        <v>0.41607790144189494</v>
      </c>
      <c r="G25" s="4">
        <f t="shared" si="12"/>
        <v>56</v>
      </c>
      <c r="H25" s="6">
        <f t="shared" si="13"/>
        <v>140.84897356765953</v>
      </c>
      <c r="I25" s="6">
        <f t="shared" si="14"/>
        <v>16768.15102643234</v>
      </c>
      <c r="K25" s="6">
        <f>8206+3289+5414</f>
        <v>16909</v>
      </c>
      <c r="L25" s="6">
        <v>20000</v>
      </c>
      <c r="N25" s="3">
        <v>39979</v>
      </c>
      <c r="O25" t="s">
        <v>22</v>
      </c>
      <c r="P25" s="6"/>
      <c r="Q25" s="6">
        <v>3986</v>
      </c>
      <c r="R25" s="6">
        <f t="shared" si="15"/>
        <v>108784</v>
      </c>
      <c r="S25" s="11" t="s">
        <v>10</v>
      </c>
      <c r="V25" s="3">
        <v>40184</v>
      </c>
      <c r="W25" t="s">
        <v>498</v>
      </c>
      <c r="Y25" s="7">
        <v>1450</v>
      </c>
      <c r="Z25" s="6">
        <f t="shared" si="6"/>
        <v>30142</v>
      </c>
      <c r="AA25" s="11" t="s">
        <v>10</v>
      </c>
      <c r="AB25" s="7">
        <f t="shared" si="2"/>
        <v>1159.3076923076924</v>
      </c>
    </row>
    <row r="26" spans="2:28" ht="13.5">
      <c r="B26" s="3">
        <v>40895</v>
      </c>
      <c r="C26" s="1"/>
      <c r="D26" s="6">
        <f t="shared" si="10"/>
        <v>0.003931936168625906</v>
      </c>
      <c r="E26" s="7"/>
      <c r="F26" s="8">
        <f t="shared" si="11"/>
        <v>0.42000983761052085</v>
      </c>
      <c r="G26" s="4">
        <f t="shared" si="12"/>
        <v>63</v>
      </c>
      <c r="H26" s="6">
        <f t="shared" si="13"/>
        <v>-0.003931936168625906</v>
      </c>
      <c r="I26" s="6">
        <f t="shared" si="14"/>
        <v>0.003931936168625906</v>
      </c>
      <c r="K26" s="6"/>
      <c r="L26" s="6"/>
      <c r="N26" s="3">
        <v>39979</v>
      </c>
      <c r="O26" t="s">
        <v>403</v>
      </c>
      <c r="P26" s="6"/>
      <c r="Q26" s="6">
        <v>6513</v>
      </c>
      <c r="R26" s="6">
        <f t="shared" si="15"/>
        <v>102271</v>
      </c>
      <c r="S26" s="11" t="s">
        <v>10</v>
      </c>
      <c r="V26" s="3">
        <v>40184</v>
      </c>
      <c r="W26" t="s">
        <v>497</v>
      </c>
      <c r="Y26" s="7">
        <f>140*40</f>
        <v>5600</v>
      </c>
      <c r="Z26" s="6">
        <f t="shared" si="6"/>
        <v>24542</v>
      </c>
      <c r="AA26" s="11" t="s">
        <v>10</v>
      </c>
      <c r="AB26" s="7">
        <f t="shared" si="2"/>
        <v>943.9230769230769</v>
      </c>
    </row>
    <row r="27" spans="2:28" ht="13.5">
      <c r="B27" s="3">
        <v>40958</v>
      </c>
      <c r="C27" s="6"/>
      <c r="D27" s="6">
        <f t="shared" si="10"/>
        <v>0.003969092965419421</v>
      </c>
      <c r="E27" s="7"/>
      <c r="F27" s="8">
        <f t="shared" si="11"/>
        <v>0.42397893057594027</v>
      </c>
      <c r="G27" s="4">
        <f t="shared" si="12"/>
        <v>63</v>
      </c>
      <c r="H27" s="6">
        <f t="shared" si="13"/>
        <v>-0.003969092965419421</v>
      </c>
      <c r="I27" s="6">
        <f t="shared" si="14"/>
        <v>0.003969092965419421</v>
      </c>
      <c r="K27" s="6"/>
      <c r="L27" s="6"/>
      <c r="N27" s="3">
        <v>39979</v>
      </c>
      <c r="O27" t="s">
        <v>24</v>
      </c>
      <c r="P27" s="6"/>
      <c r="Q27" s="6">
        <v>2656</v>
      </c>
      <c r="R27" s="6">
        <f t="shared" si="15"/>
        <v>99615</v>
      </c>
      <c r="S27" s="11" t="s">
        <v>10</v>
      </c>
      <c r="V27" s="3">
        <v>40184</v>
      </c>
      <c r="W27" t="s">
        <v>65</v>
      </c>
      <c r="Y27" s="7">
        <f>1500+35+10</f>
        <v>1545</v>
      </c>
      <c r="Z27" s="6">
        <f t="shared" si="6"/>
        <v>22997</v>
      </c>
      <c r="AA27" s="11" t="s">
        <v>10</v>
      </c>
      <c r="AB27" s="7">
        <f t="shared" si="2"/>
        <v>884.5</v>
      </c>
    </row>
    <row r="28" spans="2:28" ht="13.5">
      <c r="B28" s="3">
        <v>41021</v>
      </c>
      <c r="C28" s="1"/>
      <c r="D28" s="6">
        <f t="shared" si="10"/>
        <v>0.004006600893942635</v>
      </c>
      <c r="E28" s="7"/>
      <c r="F28" s="8">
        <f t="shared" si="11"/>
        <v>0.4279855314698829</v>
      </c>
      <c r="G28" s="4">
        <f t="shared" si="12"/>
        <v>63</v>
      </c>
      <c r="H28" s="6">
        <f t="shared" si="13"/>
        <v>-0.004006600893942635</v>
      </c>
      <c r="I28" s="6">
        <f t="shared" si="14"/>
        <v>0.004006600893942635</v>
      </c>
      <c r="K28" s="6"/>
      <c r="L28" s="6"/>
      <c r="N28" s="3">
        <v>39979</v>
      </c>
      <c r="O28" t="s">
        <v>25</v>
      </c>
      <c r="P28" s="6"/>
      <c r="Q28" s="6">
        <f>6355+6684</f>
        <v>13039</v>
      </c>
      <c r="R28" s="6">
        <f aca="true" t="shared" si="16" ref="R28:R39">+R27+P28-Q28</f>
        <v>86576</v>
      </c>
      <c r="S28" s="11" t="s">
        <v>10</v>
      </c>
      <c r="V28" s="3">
        <v>40184</v>
      </c>
      <c r="W28" t="s">
        <v>295</v>
      </c>
      <c r="Y28" s="7">
        <f>525+1172</f>
        <v>1697</v>
      </c>
      <c r="Z28" s="6">
        <f t="shared" si="6"/>
        <v>21300</v>
      </c>
      <c r="AA28" s="11" t="s">
        <v>10</v>
      </c>
      <c r="AB28" s="7">
        <f t="shared" si="2"/>
        <v>819.2307692307693</v>
      </c>
    </row>
    <row r="29" spans="2:28" ht="13.5">
      <c r="B29" s="3">
        <v>41077</v>
      </c>
      <c r="C29" s="12"/>
      <c r="D29" s="6">
        <f t="shared" si="10"/>
        <v>0.003595078464347016</v>
      </c>
      <c r="E29" s="7"/>
      <c r="F29" s="8">
        <f t="shared" si="11"/>
        <v>0.4315806099342299</v>
      </c>
      <c r="G29" s="4">
        <f t="shared" si="12"/>
        <v>56</v>
      </c>
      <c r="H29" s="6">
        <f t="shared" si="13"/>
        <v>-0.003595078464347016</v>
      </c>
      <c r="I29" s="6">
        <f t="shared" si="14"/>
        <v>0.003595078464347016</v>
      </c>
      <c r="K29" s="6"/>
      <c r="L29" s="6"/>
      <c r="N29" s="3">
        <v>39979</v>
      </c>
      <c r="O29" t="s">
        <v>48</v>
      </c>
      <c r="P29" s="6"/>
      <c r="Q29" s="6">
        <v>5328</v>
      </c>
      <c r="R29" s="6">
        <f t="shared" si="16"/>
        <v>81248</v>
      </c>
      <c r="S29" s="11" t="s">
        <v>10</v>
      </c>
      <c r="V29" s="3">
        <v>40186</v>
      </c>
      <c r="W29" t="s">
        <v>498</v>
      </c>
      <c r="Y29" s="7">
        <v>1450</v>
      </c>
      <c r="Z29" s="6">
        <f t="shared" si="6"/>
        <v>19850</v>
      </c>
      <c r="AA29" s="11" t="s">
        <v>10</v>
      </c>
      <c r="AB29" s="7">
        <f t="shared" si="2"/>
        <v>827.0833333333334</v>
      </c>
    </row>
    <row r="30" spans="2:28" ht="13.5">
      <c r="B30" s="3">
        <v>41140</v>
      </c>
      <c r="C30" s="12"/>
      <c r="D30" s="6">
        <f t="shared" si="10"/>
        <v>0.004078436763878472</v>
      </c>
      <c r="E30" s="7"/>
      <c r="F30" s="8">
        <f t="shared" si="11"/>
        <v>0.4356590466981084</v>
      </c>
      <c r="G30" s="4">
        <f t="shared" si="12"/>
        <v>63</v>
      </c>
      <c r="H30" s="6">
        <f t="shared" si="13"/>
        <v>-0.004078436763878472</v>
      </c>
      <c r="I30" s="6">
        <f t="shared" si="14"/>
        <v>0.004078436763878472</v>
      </c>
      <c r="K30" s="6"/>
      <c r="L30" s="6"/>
      <c r="N30" s="3">
        <v>39979</v>
      </c>
      <c r="O30" t="s">
        <v>53</v>
      </c>
      <c r="P30" s="6"/>
      <c r="Q30" s="6">
        <f>5744+3780</f>
        <v>9524</v>
      </c>
      <c r="R30" s="6">
        <f t="shared" si="16"/>
        <v>71724</v>
      </c>
      <c r="S30" s="11" t="s">
        <v>10</v>
      </c>
      <c r="V30" s="3">
        <v>40186</v>
      </c>
      <c r="W30" t="s">
        <v>447</v>
      </c>
      <c r="Y30" s="7">
        <v>105</v>
      </c>
      <c r="Z30" s="6">
        <f t="shared" si="6"/>
        <v>19745</v>
      </c>
      <c r="AA30" s="11" t="s">
        <v>10</v>
      </c>
      <c r="AB30" s="7">
        <f t="shared" si="2"/>
        <v>822.7083333333334</v>
      </c>
    </row>
    <row r="31" spans="2:28" ht="13.5">
      <c r="B31" s="3">
        <v>41197</v>
      </c>
      <c r="C31" s="1"/>
      <c r="D31" s="6">
        <f t="shared" si="10"/>
        <v>0.003724884849268826</v>
      </c>
      <c r="E31" s="7"/>
      <c r="F31" s="8">
        <f t="shared" si="11"/>
        <v>0.4393839315473772</v>
      </c>
      <c r="G31" s="4">
        <f t="shared" si="12"/>
        <v>57</v>
      </c>
      <c r="H31" s="6">
        <f t="shared" si="13"/>
        <v>-0.003724884849268826</v>
      </c>
      <c r="I31" s="6">
        <f t="shared" si="14"/>
        <v>0.003724884849268826</v>
      </c>
      <c r="K31" s="6"/>
      <c r="L31" s="6"/>
      <c r="N31" s="3">
        <v>39979</v>
      </c>
      <c r="O31" t="s">
        <v>51</v>
      </c>
      <c r="P31" s="6"/>
      <c r="Q31" s="6">
        <f>300*4</f>
        <v>1200</v>
      </c>
      <c r="R31" s="6">
        <f t="shared" si="16"/>
        <v>70524</v>
      </c>
      <c r="S31" s="11" t="s">
        <v>10</v>
      </c>
      <c r="V31" s="3">
        <v>40186</v>
      </c>
      <c r="W31" t="s">
        <v>124</v>
      </c>
      <c r="Y31" s="7">
        <f>105*2</f>
        <v>210</v>
      </c>
      <c r="Z31" s="6">
        <f t="shared" si="6"/>
        <v>19535</v>
      </c>
      <c r="AA31" s="11" t="s">
        <v>10</v>
      </c>
      <c r="AB31" s="7">
        <f t="shared" si="2"/>
        <v>813.9583333333334</v>
      </c>
    </row>
    <row r="32" spans="2:28" ht="13.5">
      <c r="B32" s="3">
        <v>41262</v>
      </c>
      <c r="C32" s="1"/>
      <c r="D32" s="6">
        <f t="shared" si="10"/>
        <v>0.0042839933325869274</v>
      </c>
      <c r="E32" s="7"/>
      <c r="F32" s="8">
        <f t="shared" si="11"/>
        <v>0.44366792487996415</v>
      </c>
      <c r="G32" s="4">
        <f t="shared" si="12"/>
        <v>65</v>
      </c>
      <c r="H32" s="6">
        <f t="shared" si="13"/>
        <v>-0.0042839933325869274</v>
      </c>
      <c r="I32" s="6">
        <f t="shared" si="14"/>
        <v>0.0042839933325869274</v>
      </c>
      <c r="K32" s="6"/>
      <c r="L32" s="6"/>
      <c r="N32" s="3">
        <v>39979</v>
      </c>
      <c r="O32" t="s">
        <v>50</v>
      </c>
      <c r="P32" s="6"/>
      <c r="Q32" s="6">
        <f>1387-1200+50+511</f>
        <v>748</v>
      </c>
      <c r="R32" s="6">
        <f t="shared" si="16"/>
        <v>69776</v>
      </c>
      <c r="S32" s="11" t="s">
        <v>10</v>
      </c>
      <c r="V32" s="3">
        <v>40186</v>
      </c>
      <c r="W32" t="s">
        <v>235</v>
      </c>
      <c r="Y32" s="7">
        <v>105</v>
      </c>
      <c r="Z32" s="6">
        <f t="shared" si="6"/>
        <v>19430</v>
      </c>
      <c r="AA32" s="11" t="s">
        <v>10</v>
      </c>
      <c r="AB32" s="7">
        <f t="shared" si="2"/>
        <v>809.5833333333334</v>
      </c>
    </row>
    <row r="33" spans="2:28" ht="13.5">
      <c r="B33" s="3">
        <v>41322</v>
      </c>
      <c r="C33" s="1"/>
      <c r="D33" s="6">
        <f t="shared" si="10"/>
        <v>0.003993011323919677</v>
      </c>
      <c r="E33" s="7"/>
      <c r="F33" s="8">
        <f t="shared" si="11"/>
        <v>0.4476609362038838</v>
      </c>
      <c r="G33" s="4">
        <f t="shared" si="12"/>
        <v>60</v>
      </c>
      <c r="H33" s="6">
        <f t="shared" si="13"/>
        <v>-0.003993011323919677</v>
      </c>
      <c r="I33" s="6">
        <f t="shared" si="14"/>
        <v>0.003993011323919677</v>
      </c>
      <c r="K33" s="6"/>
      <c r="L33" s="6"/>
      <c r="N33" s="3">
        <v>39979</v>
      </c>
      <c r="O33" t="s">
        <v>44</v>
      </c>
      <c r="P33" s="6"/>
      <c r="Q33" s="6">
        <v>0</v>
      </c>
      <c r="R33" s="6">
        <f t="shared" si="16"/>
        <v>69776</v>
      </c>
      <c r="S33" s="11" t="s">
        <v>10</v>
      </c>
      <c r="V33" s="3">
        <v>40186</v>
      </c>
      <c r="W33" t="s">
        <v>504</v>
      </c>
      <c r="Y33" s="7">
        <f>105*2</f>
        <v>210</v>
      </c>
      <c r="Z33" s="6">
        <f t="shared" si="6"/>
        <v>19220</v>
      </c>
      <c r="AA33" s="11" t="s">
        <v>10</v>
      </c>
      <c r="AB33" s="7">
        <f t="shared" si="2"/>
        <v>800.8333333333334</v>
      </c>
    </row>
    <row r="34" spans="2:28" ht="13.5">
      <c r="B34" s="3">
        <v>41385</v>
      </c>
      <c r="C34" s="1"/>
      <c r="D34" s="6">
        <f t="shared" si="10"/>
        <v>0.004230395847126701</v>
      </c>
      <c r="E34" s="7"/>
      <c r="F34" s="8">
        <f t="shared" si="11"/>
        <v>0.4518913320510105</v>
      </c>
      <c r="G34" s="4">
        <f t="shared" si="12"/>
        <v>63</v>
      </c>
      <c r="H34" s="6">
        <f t="shared" si="13"/>
        <v>-0.004230395847126701</v>
      </c>
      <c r="I34" s="6">
        <f t="shared" si="14"/>
        <v>0.004230395847126701</v>
      </c>
      <c r="K34" s="6"/>
      <c r="L34" s="6"/>
      <c r="N34" s="3">
        <v>39979</v>
      </c>
      <c r="O34" t="s">
        <v>17</v>
      </c>
      <c r="P34" s="6"/>
      <c r="Q34" s="6">
        <v>996</v>
      </c>
      <c r="R34" s="6">
        <f t="shared" si="16"/>
        <v>68780</v>
      </c>
      <c r="S34" s="11" t="s">
        <v>10</v>
      </c>
      <c r="V34" s="3">
        <v>40186</v>
      </c>
      <c r="W34" t="s">
        <v>500</v>
      </c>
      <c r="Y34" s="7">
        <v>105</v>
      </c>
      <c r="Z34" s="6">
        <f t="shared" si="6"/>
        <v>19115</v>
      </c>
      <c r="AA34" s="11" t="s">
        <v>10</v>
      </c>
      <c r="AB34" s="7">
        <f t="shared" si="2"/>
        <v>796.4583333333334</v>
      </c>
    </row>
    <row r="35" spans="2:28" ht="13.5">
      <c r="B35" s="5">
        <v>41441</v>
      </c>
      <c r="C35" s="1"/>
      <c r="D35" s="6">
        <f t="shared" si="10"/>
        <v>0.003795887189228488</v>
      </c>
      <c r="E35" s="7"/>
      <c r="F35" s="8">
        <f t="shared" si="11"/>
        <v>0.45568721924023897</v>
      </c>
      <c r="G35" s="4">
        <f t="shared" si="12"/>
        <v>56</v>
      </c>
      <c r="H35" s="6">
        <f t="shared" si="13"/>
        <v>-0.003795887189228488</v>
      </c>
      <c r="I35" s="6">
        <f t="shared" si="14"/>
        <v>0.003795887189228488</v>
      </c>
      <c r="K35" s="6"/>
      <c r="L35" s="6"/>
      <c r="N35" s="3">
        <v>39979</v>
      </c>
      <c r="O35" t="s">
        <v>404</v>
      </c>
      <c r="P35" s="6"/>
      <c r="Q35" s="6">
        <v>1000</v>
      </c>
      <c r="R35" s="6">
        <f t="shared" si="16"/>
        <v>67780</v>
      </c>
      <c r="S35" s="11" t="s">
        <v>10</v>
      </c>
      <c r="V35" s="3">
        <v>40186</v>
      </c>
      <c r="W35" t="s">
        <v>429</v>
      </c>
      <c r="Y35" s="7">
        <v>105</v>
      </c>
      <c r="Z35" s="6">
        <f t="shared" si="6"/>
        <v>19010</v>
      </c>
      <c r="AA35" s="11" t="s">
        <v>10</v>
      </c>
      <c r="AB35" s="7">
        <f t="shared" si="2"/>
        <v>792.0833333333334</v>
      </c>
    </row>
    <row r="36" spans="2:28" ht="13.5">
      <c r="B36" s="3">
        <v>41504</v>
      </c>
      <c r="C36" s="12" t="s">
        <v>13</v>
      </c>
      <c r="D36" s="6">
        <f t="shared" si="10"/>
        <v>0.004306244221820257</v>
      </c>
      <c r="E36" s="7"/>
      <c r="F36" s="8">
        <f t="shared" si="11"/>
        <v>0.4599934634620592</v>
      </c>
      <c r="G36" s="4">
        <f t="shared" si="12"/>
        <v>63</v>
      </c>
      <c r="H36" s="6">
        <f t="shared" si="13"/>
        <v>-0.004306244221820257</v>
      </c>
      <c r="I36" s="6">
        <f t="shared" si="14"/>
        <v>0.004306244221820257</v>
      </c>
      <c r="K36" s="6"/>
      <c r="L36" s="6"/>
      <c r="N36" s="3">
        <v>39979</v>
      </c>
      <c r="O36" t="s">
        <v>54</v>
      </c>
      <c r="P36" s="6"/>
      <c r="Q36" s="6">
        <v>600</v>
      </c>
      <c r="R36" s="6">
        <f t="shared" si="16"/>
        <v>67180</v>
      </c>
      <c r="S36" s="11" t="s">
        <v>10</v>
      </c>
      <c r="V36" s="3">
        <v>40186</v>
      </c>
      <c r="W36" t="s">
        <v>501</v>
      </c>
      <c r="Y36" s="7">
        <v>105</v>
      </c>
      <c r="Z36" s="6">
        <f t="shared" si="6"/>
        <v>18905</v>
      </c>
      <c r="AA36" s="11" t="s">
        <v>10</v>
      </c>
      <c r="AB36" s="7">
        <f t="shared" si="2"/>
        <v>787.7083333333334</v>
      </c>
    </row>
    <row r="37" spans="2:28" ht="13.5">
      <c r="B37" s="3">
        <v>41567</v>
      </c>
      <c r="C37" s="12" t="s">
        <v>14</v>
      </c>
      <c r="D37" s="6">
        <f t="shared" si="10"/>
        <v>0.004346938229716459</v>
      </c>
      <c r="E37" s="7"/>
      <c r="F37" s="8">
        <f t="shared" si="11"/>
        <v>0.46434040169177565</v>
      </c>
      <c r="G37" s="4">
        <f t="shared" si="12"/>
        <v>63</v>
      </c>
      <c r="H37" s="6">
        <f t="shared" si="13"/>
        <v>-0.004346938229716459</v>
      </c>
      <c r="I37" s="6">
        <f t="shared" si="14"/>
        <v>0.004346938229716459</v>
      </c>
      <c r="K37" s="6"/>
      <c r="L37" s="6"/>
      <c r="N37" s="3">
        <v>39979</v>
      </c>
      <c r="O37" t="s">
        <v>56</v>
      </c>
      <c r="P37" s="6"/>
      <c r="Q37" s="6">
        <v>700</v>
      </c>
      <c r="R37" s="6">
        <f t="shared" si="16"/>
        <v>66480</v>
      </c>
      <c r="S37" s="11" t="s">
        <v>10</v>
      </c>
      <c r="V37" s="3">
        <v>40186</v>
      </c>
      <c r="W37" t="s">
        <v>502</v>
      </c>
      <c r="Y37" s="7">
        <v>105</v>
      </c>
      <c r="Z37" s="6">
        <f t="shared" si="6"/>
        <v>18800</v>
      </c>
      <c r="AA37" s="11" t="s">
        <v>10</v>
      </c>
      <c r="AB37" s="7">
        <f t="shared" si="2"/>
        <v>783.3333333333334</v>
      </c>
    </row>
    <row r="38" spans="2:28" ht="13.5">
      <c r="B38" s="3">
        <v>41623</v>
      </c>
      <c r="C38" s="1" t="s">
        <v>576</v>
      </c>
      <c r="D38" s="6">
        <f t="shared" si="10"/>
        <v>0.003900459374210915</v>
      </c>
      <c r="E38" s="7"/>
      <c r="F38" s="8">
        <f t="shared" si="11"/>
        <v>0.46824086106598656</v>
      </c>
      <c r="G38" s="4">
        <f t="shared" si="12"/>
        <v>56</v>
      </c>
      <c r="H38" s="6">
        <f t="shared" si="13"/>
        <v>-0.003900459374210915</v>
      </c>
      <c r="I38" s="6">
        <f t="shared" si="14"/>
        <v>0.003900459374210915</v>
      </c>
      <c r="K38" s="6"/>
      <c r="L38" s="6"/>
      <c r="N38" s="3">
        <v>39979</v>
      </c>
      <c r="O38" t="s">
        <v>57</v>
      </c>
      <c r="P38" s="6"/>
      <c r="Q38" s="6">
        <v>420</v>
      </c>
      <c r="R38" s="6">
        <f t="shared" si="16"/>
        <v>66060</v>
      </c>
      <c r="S38" s="11" t="s">
        <v>10</v>
      </c>
      <c r="V38" s="3">
        <v>40186</v>
      </c>
      <c r="W38" t="s">
        <v>700</v>
      </c>
      <c r="Y38" s="7">
        <v>1250</v>
      </c>
      <c r="Z38" s="6">
        <f t="shared" si="6"/>
        <v>17550</v>
      </c>
      <c r="AA38" s="11" t="s">
        <v>10</v>
      </c>
      <c r="AB38" s="7">
        <f aca="true" t="shared" si="17" ref="AB38:AB69">+Z38/(40210-V38)</f>
        <v>731.25</v>
      </c>
    </row>
    <row r="39" spans="2:28" ht="13.5">
      <c r="B39" s="3">
        <v>41686</v>
      </c>
      <c r="C39" s="1"/>
      <c r="D39" s="6">
        <f t="shared" si="10"/>
        <v>0.0044248761370735724</v>
      </c>
      <c r="E39" s="7"/>
      <c r="F39" s="8">
        <f t="shared" si="11"/>
        <v>0.47266573720306015</v>
      </c>
      <c r="G39" s="4">
        <f t="shared" si="12"/>
        <v>63</v>
      </c>
      <c r="H39" s="6">
        <f t="shared" si="13"/>
        <v>-0.0044248761370735724</v>
      </c>
      <c r="I39" s="6">
        <f t="shared" si="14"/>
        <v>0.0044248761370735724</v>
      </c>
      <c r="K39" s="6"/>
      <c r="L39" s="6"/>
      <c r="N39" s="3">
        <v>39979</v>
      </c>
      <c r="O39" t="s">
        <v>77</v>
      </c>
      <c r="P39" s="6"/>
      <c r="Q39" s="6">
        <v>1260</v>
      </c>
      <c r="R39" s="6">
        <f t="shared" si="16"/>
        <v>64800</v>
      </c>
      <c r="S39" s="11" t="s">
        <v>10</v>
      </c>
      <c r="V39" s="3">
        <v>40186</v>
      </c>
      <c r="W39" t="s">
        <v>503</v>
      </c>
      <c r="Y39" s="7">
        <v>398</v>
      </c>
      <c r="Z39" s="6">
        <f t="shared" si="6"/>
        <v>17152</v>
      </c>
      <c r="AA39" s="11" t="s">
        <v>10</v>
      </c>
      <c r="AB39" s="7">
        <f t="shared" si="17"/>
        <v>714.6666666666666</v>
      </c>
    </row>
    <row r="40" spans="2:28" ht="13.5">
      <c r="B40" s="3">
        <v>41749</v>
      </c>
      <c r="C40" s="1"/>
      <c r="D40" s="6">
        <f t="shared" si="10"/>
        <v>0.004466691216568917</v>
      </c>
      <c r="E40" s="7"/>
      <c r="F40" s="8">
        <f t="shared" si="11"/>
        <v>0.47713242841962905</v>
      </c>
      <c r="G40" s="4">
        <f t="shared" si="12"/>
        <v>63</v>
      </c>
      <c r="H40" s="6">
        <f t="shared" si="13"/>
        <v>-0.004466691216568917</v>
      </c>
      <c r="I40" s="6">
        <f t="shared" si="14"/>
        <v>0.004466691216568917</v>
      </c>
      <c r="K40" s="6"/>
      <c r="L40" s="6"/>
      <c r="N40" s="3">
        <v>39979</v>
      </c>
      <c r="O40" t="s">
        <v>58</v>
      </c>
      <c r="P40" s="6"/>
      <c r="Q40" s="6">
        <v>195</v>
      </c>
      <c r="R40" s="6">
        <f aca="true" t="shared" si="18" ref="R40:R45">+R39+P40-Q40</f>
        <v>64605</v>
      </c>
      <c r="S40" s="11" t="s">
        <v>10</v>
      </c>
      <c r="V40" s="3">
        <v>40186</v>
      </c>
      <c r="W40" t="s">
        <v>369</v>
      </c>
      <c r="Y40" s="7">
        <v>996</v>
      </c>
      <c r="Z40" s="6">
        <f t="shared" si="6"/>
        <v>16156</v>
      </c>
      <c r="AA40" s="11" t="s">
        <v>426</v>
      </c>
      <c r="AB40" s="7">
        <f t="shared" si="17"/>
        <v>673.1666666666666</v>
      </c>
    </row>
    <row r="41" spans="2:28" ht="13.5">
      <c r="B41" s="3">
        <v>41812</v>
      </c>
      <c r="C41" s="1"/>
      <c r="D41" s="6">
        <f t="shared" si="10"/>
        <v>0.004508901448565494</v>
      </c>
      <c r="E41" s="7"/>
      <c r="F41" s="8">
        <f t="shared" si="11"/>
        <v>0.4816413298681945</v>
      </c>
      <c r="G41" s="4">
        <f t="shared" si="12"/>
        <v>63</v>
      </c>
      <c r="H41" s="6">
        <f t="shared" si="13"/>
        <v>-0.004508901448565494</v>
      </c>
      <c r="I41" s="6">
        <f t="shared" si="14"/>
        <v>0.004508901448565494</v>
      </c>
      <c r="K41" s="6"/>
      <c r="L41" s="6"/>
      <c r="N41" s="3">
        <v>39980</v>
      </c>
      <c r="O41" t="s">
        <v>40</v>
      </c>
      <c r="P41" s="6"/>
      <c r="Q41" s="6">
        <v>240</v>
      </c>
      <c r="R41" s="6">
        <f t="shared" si="18"/>
        <v>64365</v>
      </c>
      <c r="S41" s="11" t="s">
        <v>10</v>
      </c>
      <c r="V41" s="3">
        <v>40186</v>
      </c>
      <c r="W41" t="s">
        <v>50</v>
      </c>
      <c r="Y41" s="7">
        <v>546</v>
      </c>
      <c r="Z41" s="6">
        <f t="shared" si="6"/>
        <v>15610</v>
      </c>
      <c r="AA41" s="23">
        <f>546/25083</f>
        <v>0.021767731132639637</v>
      </c>
      <c r="AB41" s="7">
        <f t="shared" si="17"/>
        <v>650.4166666666666</v>
      </c>
    </row>
    <row r="42" spans="2:28" ht="13.5">
      <c r="B42" s="3">
        <v>41868</v>
      </c>
      <c r="C42" s="1"/>
      <c r="D42" s="6">
        <f t="shared" si="10"/>
        <v>0.004045787170892834</v>
      </c>
      <c r="E42" s="7"/>
      <c r="F42" s="8">
        <f t="shared" si="11"/>
        <v>0.48568711703908735</v>
      </c>
      <c r="G42" s="4">
        <f t="shared" si="12"/>
        <v>56</v>
      </c>
      <c r="H42" s="6">
        <f t="shared" si="13"/>
        <v>-0.004045787170892834</v>
      </c>
      <c r="I42" s="6">
        <f t="shared" si="14"/>
        <v>0.004045787170892834</v>
      </c>
      <c r="K42" s="6"/>
      <c r="L42" s="6"/>
      <c r="N42" s="3">
        <v>39980</v>
      </c>
      <c r="O42" t="s">
        <v>59</v>
      </c>
      <c r="P42" s="6"/>
      <c r="Q42" s="6">
        <v>600</v>
      </c>
      <c r="R42" s="6">
        <f t="shared" si="18"/>
        <v>63765</v>
      </c>
      <c r="S42" s="11" t="s">
        <v>10</v>
      </c>
      <c r="V42" s="3">
        <v>40189</v>
      </c>
      <c r="W42" t="s">
        <v>120</v>
      </c>
      <c r="Y42" s="7">
        <v>1136</v>
      </c>
      <c r="Z42" s="6">
        <f aca="true" t="shared" si="19" ref="Z42:Z49">+Z41+X42-Y42</f>
        <v>14474</v>
      </c>
      <c r="AA42" s="11" t="s">
        <v>10</v>
      </c>
      <c r="AB42" s="7">
        <f t="shared" si="17"/>
        <v>689.2380952380952</v>
      </c>
    </row>
    <row r="43" spans="2:28" ht="13.5">
      <c r="B43" s="3">
        <v>41931</v>
      </c>
      <c r="C43" s="1"/>
      <c r="D43" s="6">
        <f t="shared" si="10"/>
        <v>0.004589743256019374</v>
      </c>
      <c r="E43" s="7"/>
      <c r="F43" s="8">
        <f t="shared" si="11"/>
        <v>0.4902768602951067</v>
      </c>
      <c r="G43" s="4">
        <f t="shared" si="12"/>
        <v>63</v>
      </c>
      <c r="H43" s="6">
        <f t="shared" si="13"/>
        <v>-0.004589743256019374</v>
      </c>
      <c r="I43" s="6">
        <f t="shared" si="14"/>
        <v>0.004589743256019374</v>
      </c>
      <c r="K43" s="6"/>
      <c r="L43" s="6"/>
      <c r="N43" s="3">
        <v>39981</v>
      </c>
      <c r="O43" t="s">
        <v>62</v>
      </c>
      <c r="P43" s="6"/>
      <c r="Q43" s="6">
        <f>9408+5229-510</f>
        <v>14127</v>
      </c>
      <c r="R43" s="6">
        <f t="shared" si="18"/>
        <v>49638</v>
      </c>
      <c r="S43" s="11" t="s">
        <v>10</v>
      </c>
      <c r="V43" s="3">
        <v>40189</v>
      </c>
      <c r="W43" t="s">
        <v>505</v>
      </c>
      <c r="Y43" s="7">
        <f>105*3</f>
        <v>315</v>
      </c>
      <c r="Z43" s="6">
        <f t="shared" si="19"/>
        <v>14159</v>
      </c>
      <c r="AA43" s="11" t="s">
        <v>10</v>
      </c>
      <c r="AB43" s="7">
        <f t="shared" si="17"/>
        <v>674.2380952380952</v>
      </c>
    </row>
    <row r="44" spans="2:28" ht="13.5">
      <c r="B44" s="3">
        <v>41994</v>
      </c>
      <c r="C44" s="1"/>
      <c r="D44" s="6">
        <f t="shared" si="10"/>
        <v>0.0046331163297887576</v>
      </c>
      <c r="E44" s="7"/>
      <c r="F44" s="8">
        <f t="shared" si="11"/>
        <v>0.49490997662489544</v>
      </c>
      <c r="G44" s="4">
        <f t="shared" si="12"/>
        <v>63</v>
      </c>
      <c r="H44" s="6">
        <f t="shared" si="13"/>
        <v>-0.0046331163297887576</v>
      </c>
      <c r="I44" s="6">
        <f t="shared" si="14"/>
        <v>0.0046331163297887576</v>
      </c>
      <c r="K44" s="6"/>
      <c r="L44" s="6"/>
      <c r="N44" s="3">
        <v>39981</v>
      </c>
      <c r="O44" t="s">
        <v>60</v>
      </c>
      <c r="P44" s="6"/>
      <c r="Q44" s="6">
        <v>210</v>
      </c>
      <c r="R44" s="6">
        <f t="shared" si="18"/>
        <v>49428</v>
      </c>
      <c r="S44" s="11" t="s">
        <v>10</v>
      </c>
      <c r="V44" s="3">
        <v>40189</v>
      </c>
      <c r="W44" t="s">
        <v>235</v>
      </c>
      <c r="Y44" s="7">
        <v>105</v>
      </c>
      <c r="Z44" s="6">
        <f t="shared" si="19"/>
        <v>14054</v>
      </c>
      <c r="AA44" s="11" t="s">
        <v>10</v>
      </c>
      <c r="AB44" s="7">
        <f t="shared" si="17"/>
        <v>669.2380952380952</v>
      </c>
    </row>
    <row r="45" spans="2:28" ht="13.5">
      <c r="B45" s="3">
        <v>42057</v>
      </c>
      <c r="C45" s="1"/>
      <c r="D45" s="6">
        <f t="shared" si="10"/>
        <v>0.0046768992791052615</v>
      </c>
      <c r="E45" s="7"/>
      <c r="F45" s="8">
        <f t="shared" si="11"/>
        <v>0.4995868759040007</v>
      </c>
      <c r="G45" s="4">
        <f t="shared" si="12"/>
        <v>63</v>
      </c>
      <c r="H45" s="6">
        <f t="shared" si="13"/>
        <v>-0.0046768992791052615</v>
      </c>
      <c r="I45" s="6">
        <f t="shared" si="14"/>
        <v>0.0046768992791052615</v>
      </c>
      <c r="K45" s="6"/>
      <c r="L45" s="6"/>
      <c r="N45" s="3">
        <v>39981</v>
      </c>
      <c r="O45" t="s">
        <v>61</v>
      </c>
      <c r="P45" s="6"/>
      <c r="Q45" s="6">
        <v>195</v>
      </c>
      <c r="R45" s="6">
        <f t="shared" si="18"/>
        <v>49233</v>
      </c>
      <c r="S45" s="11" t="s">
        <v>10</v>
      </c>
      <c r="V45" s="3">
        <v>40189</v>
      </c>
      <c r="W45" t="s">
        <v>506</v>
      </c>
      <c r="Y45" s="7">
        <f>105*2</f>
        <v>210</v>
      </c>
      <c r="Z45" s="6">
        <f t="shared" si="19"/>
        <v>13844</v>
      </c>
      <c r="AA45" s="11" t="s">
        <v>10</v>
      </c>
      <c r="AB45" s="7">
        <f t="shared" si="17"/>
        <v>659.2380952380952</v>
      </c>
    </row>
    <row r="46" spans="2:28" ht="13.5">
      <c r="B46" s="3">
        <v>42111</v>
      </c>
      <c r="C46" s="1"/>
      <c r="D46" s="6">
        <f t="shared" si="10"/>
        <v>0.004046653694822405</v>
      </c>
      <c r="E46" s="7"/>
      <c r="F46" s="8">
        <f t="shared" si="11"/>
        <v>0.5036335295988231</v>
      </c>
      <c r="G46" s="4">
        <f t="shared" si="12"/>
        <v>54</v>
      </c>
      <c r="H46" s="6">
        <f t="shared" si="13"/>
        <v>-0.004046653694822405</v>
      </c>
      <c r="I46" s="6">
        <f t="shared" si="14"/>
        <v>0.004046653694822405</v>
      </c>
      <c r="K46" s="6"/>
      <c r="L46" s="6"/>
      <c r="N46" s="3">
        <v>39983</v>
      </c>
      <c r="O46" t="s">
        <v>26</v>
      </c>
      <c r="P46" s="6"/>
      <c r="Q46" s="6">
        <v>3780</v>
      </c>
      <c r="R46" s="6">
        <f>+R45+P46-Q46</f>
        <v>45453</v>
      </c>
      <c r="S46" s="11" t="s">
        <v>10</v>
      </c>
      <c r="V46" s="3">
        <v>40189</v>
      </c>
      <c r="W46" t="s">
        <v>507</v>
      </c>
      <c r="Y46" s="7">
        <f>178+267</f>
        <v>445</v>
      </c>
      <c r="Z46" s="6">
        <f t="shared" si="19"/>
        <v>13399</v>
      </c>
      <c r="AA46" s="11" t="s">
        <v>10</v>
      </c>
      <c r="AB46" s="7">
        <f t="shared" si="17"/>
        <v>638.047619047619</v>
      </c>
    </row>
    <row r="47" spans="2:28" ht="13.5">
      <c r="B47" s="3">
        <v>42176</v>
      </c>
      <c r="C47" s="1"/>
      <c r="D47" s="6">
        <f t="shared" si="10"/>
        <v>0.004910426913588526</v>
      </c>
      <c r="E47" s="7"/>
      <c r="F47" s="8">
        <f t="shared" si="11"/>
        <v>0.5085439565124117</v>
      </c>
      <c r="G47" s="4">
        <f t="shared" si="12"/>
        <v>65</v>
      </c>
      <c r="H47" s="6">
        <f t="shared" si="13"/>
        <v>-0.004910426913588526</v>
      </c>
      <c r="I47" s="6">
        <f t="shared" si="14"/>
        <v>0.004910426913588526</v>
      </c>
      <c r="K47" s="6"/>
      <c r="L47" s="6"/>
      <c r="N47" s="3">
        <v>39983</v>
      </c>
      <c r="O47" t="s">
        <v>17</v>
      </c>
      <c r="P47" s="6"/>
      <c r="Q47" s="6">
        <v>1160</v>
      </c>
      <c r="R47" s="6">
        <f>+R46+P47-Q47</f>
        <v>44293</v>
      </c>
      <c r="S47" s="11" t="s">
        <v>10</v>
      </c>
      <c r="V47" s="3">
        <v>40189</v>
      </c>
      <c r="W47" t="s">
        <v>428</v>
      </c>
      <c r="Y47" s="7">
        <v>428</v>
      </c>
      <c r="Z47" s="6">
        <f t="shared" si="19"/>
        <v>12971</v>
      </c>
      <c r="AA47" s="11" t="s">
        <v>10</v>
      </c>
      <c r="AB47" s="7">
        <f t="shared" si="17"/>
        <v>617.6666666666666</v>
      </c>
    </row>
    <row r="48" spans="2:28" ht="13.5">
      <c r="B48" s="3">
        <v>42232</v>
      </c>
      <c r="C48" s="12" t="s">
        <v>13</v>
      </c>
      <c r="D48" s="6">
        <f t="shared" si="10"/>
        <v>0.004271769234704258</v>
      </c>
      <c r="E48" s="7"/>
      <c r="F48" s="8">
        <f t="shared" si="11"/>
        <v>0.512815725747116</v>
      </c>
      <c r="G48" s="4">
        <f t="shared" si="12"/>
        <v>56</v>
      </c>
      <c r="H48" s="6">
        <f t="shared" si="13"/>
        <v>-0.004271769234704258</v>
      </c>
      <c r="I48" s="6">
        <f t="shared" si="14"/>
        <v>0.004271769234704258</v>
      </c>
      <c r="K48" s="6"/>
      <c r="L48" s="6"/>
      <c r="N48" s="3">
        <v>39983</v>
      </c>
      <c r="O48" t="s">
        <v>19</v>
      </c>
      <c r="P48" s="6"/>
      <c r="Q48" s="6">
        <v>350</v>
      </c>
      <c r="R48" s="6">
        <f>+R47+P48-Q48</f>
        <v>43943</v>
      </c>
      <c r="S48" s="11" t="s">
        <v>10</v>
      </c>
      <c r="V48" s="3">
        <v>40191</v>
      </c>
      <c r="W48" t="s">
        <v>378</v>
      </c>
      <c r="Y48" s="7">
        <f>105*3</f>
        <v>315</v>
      </c>
      <c r="Z48" s="6">
        <f t="shared" si="19"/>
        <v>12656</v>
      </c>
      <c r="AA48" s="11" t="s">
        <v>10</v>
      </c>
      <c r="AB48" s="7">
        <f t="shared" si="17"/>
        <v>666.1052631578947</v>
      </c>
    </row>
    <row r="49" spans="2:28" ht="13.5">
      <c r="B49" s="3">
        <v>42295</v>
      </c>
      <c r="C49" s="12" t="s">
        <v>14</v>
      </c>
      <c r="D49" s="6">
        <f t="shared" si="10"/>
        <v>0.004846108608310245</v>
      </c>
      <c r="E49" s="7"/>
      <c r="F49" s="8">
        <f t="shared" si="11"/>
        <v>0.5176618343554262</v>
      </c>
      <c r="G49" s="4">
        <f t="shared" si="12"/>
        <v>63</v>
      </c>
      <c r="H49" s="6">
        <f t="shared" si="13"/>
        <v>-0.004846108608310245</v>
      </c>
      <c r="I49" s="6">
        <f t="shared" si="14"/>
        <v>0.004846108608310245</v>
      </c>
      <c r="K49" s="6"/>
      <c r="L49" s="6"/>
      <c r="N49" s="3">
        <v>39985</v>
      </c>
      <c r="O49" t="s">
        <v>63</v>
      </c>
      <c r="P49" s="6"/>
      <c r="Q49" s="6">
        <v>1200</v>
      </c>
      <c r="R49" s="6">
        <f aca="true" t="shared" si="20" ref="R49:R57">+R48+P49-Q49</f>
        <v>42743</v>
      </c>
      <c r="S49" s="11" t="s">
        <v>10</v>
      </c>
      <c r="V49" s="3">
        <v>40191</v>
      </c>
      <c r="W49" t="s">
        <v>27</v>
      </c>
      <c r="Y49" s="7">
        <v>46</v>
      </c>
      <c r="Z49" s="6">
        <f t="shared" si="19"/>
        <v>12610</v>
      </c>
      <c r="AA49" s="11" t="s">
        <v>10</v>
      </c>
      <c r="AB49" s="7">
        <f t="shared" si="17"/>
        <v>663.6842105263158</v>
      </c>
    </row>
    <row r="50" spans="2:28" ht="13.5">
      <c r="B50" s="3">
        <v>42358</v>
      </c>
      <c r="C50" s="1" t="s">
        <v>202</v>
      </c>
      <c r="D50" s="6">
        <f t="shared" si="10"/>
        <v>0.004891904334658777</v>
      </c>
      <c r="E50" s="7"/>
      <c r="F50" s="8">
        <f t="shared" si="11"/>
        <v>0.522553738690085</v>
      </c>
      <c r="G50" s="4">
        <f t="shared" si="12"/>
        <v>63</v>
      </c>
      <c r="H50" s="6">
        <f t="shared" si="13"/>
        <v>-0.004891904334658777</v>
      </c>
      <c r="I50" s="6">
        <f t="shared" si="14"/>
        <v>0.004891904334658777</v>
      </c>
      <c r="K50" s="6"/>
      <c r="L50" s="6"/>
      <c r="N50" s="3">
        <v>39985</v>
      </c>
      <c r="O50" t="s">
        <v>49</v>
      </c>
      <c r="P50" s="6"/>
      <c r="Q50" s="6">
        <v>399</v>
      </c>
      <c r="R50" s="6">
        <f t="shared" si="20"/>
        <v>42344</v>
      </c>
      <c r="S50" s="11" t="s">
        <v>10</v>
      </c>
      <c r="V50" s="3">
        <v>40193</v>
      </c>
      <c r="W50" t="s">
        <v>369</v>
      </c>
      <c r="Y50" s="7">
        <v>996</v>
      </c>
      <c r="Z50" s="6">
        <f aca="true" t="shared" si="21" ref="Z50:Z59">+Z49+X50-Y50</f>
        <v>11614</v>
      </c>
      <c r="AA50" s="11" t="s">
        <v>10</v>
      </c>
      <c r="AB50" s="7">
        <f t="shared" si="17"/>
        <v>683.1764705882352</v>
      </c>
    </row>
    <row r="51" spans="2:28" ht="13.5">
      <c r="B51" s="3">
        <v>42421</v>
      </c>
      <c r="D51" s="6">
        <f t="shared" si="10"/>
        <v>0.004938132830621303</v>
      </c>
      <c r="E51" s="7"/>
      <c r="F51" s="7">
        <f t="shared" si="11"/>
        <v>0.5274918715207063</v>
      </c>
      <c r="G51" s="4">
        <f t="shared" si="12"/>
        <v>63</v>
      </c>
      <c r="H51" s="6">
        <f t="shared" si="13"/>
        <v>-0.004938132830621303</v>
      </c>
      <c r="I51" s="6">
        <f t="shared" si="14"/>
        <v>0.004938132830621303</v>
      </c>
      <c r="K51" s="6"/>
      <c r="L51" s="6"/>
      <c r="N51" s="3">
        <v>39985</v>
      </c>
      <c r="O51" t="s">
        <v>100</v>
      </c>
      <c r="P51" s="6"/>
      <c r="Q51" s="6">
        <v>2580</v>
      </c>
      <c r="R51" s="6">
        <f t="shared" si="20"/>
        <v>39764</v>
      </c>
      <c r="S51" s="11" t="s">
        <v>10</v>
      </c>
      <c r="V51" s="3">
        <v>40193</v>
      </c>
      <c r="W51" t="s">
        <v>508</v>
      </c>
      <c r="Y51" s="7">
        <v>248</v>
      </c>
      <c r="Z51" s="6">
        <f t="shared" si="21"/>
        <v>11366</v>
      </c>
      <c r="AA51" s="11" t="s">
        <v>10</v>
      </c>
      <c r="AB51" s="7">
        <f t="shared" si="17"/>
        <v>668.5882352941177</v>
      </c>
    </row>
    <row r="52" spans="2:28" ht="13.5">
      <c r="B52" s="3">
        <v>42484</v>
      </c>
      <c r="D52" s="6">
        <f t="shared" si="10"/>
        <v>0.004984798185870673</v>
      </c>
      <c r="E52" s="7"/>
      <c r="F52" s="7">
        <f t="shared" si="11"/>
        <v>0.532476669706577</v>
      </c>
      <c r="G52" s="4">
        <f t="shared" si="12"/>
        <v>63</v>
      </c>
      <c r="H52" s="6">
        <f t="shared" si="13"/>
        <v>-0.004984798185870673</v>
      </c>
      <c r="I52" s="6">
        <f t="shared" si="14"/>
        <v>0.004984798185870673</v>
      </c>
      <c r="K52" s="6"/>
      <c r="L52" s="6"/>
      <c r="N52" s="3">
        <v>39985</v>
      </c>
      <c r="O52" t="s">
        <v>64</v>
      </c>
      <c r="P52" s="6"/>
      <c r="Q52" s="6">
        <v>260</v>
      </c>
      <c r="R52" s="6">
        <f t="shared" si="20"/>
        <v>39504</v>
      </c>
      <c r="S52" s="11" t="s">
        <v>10</v>
      </c>
      <c r="V52" s="3">
        <v>40193</v>
      </c>
      <c r="W52" t="s">
        <v>444</v>
      </c>
      <c r="Y52" s="7">
        <v>148</v>
      </c>
      <c r="Z52" s="6">
        <f t="shared" si="21"/>
        <v>11218</v>
      </c>
      <c r="AA52" s="11" t="s">
        <v>10</v>
      </c>
      <c r="AB52" s="7">
        <f t="shared" si="17"/>
        <v>659.8823529411765</v>
      </c>
    </row>
    <row r="53" spans="2:28" ht="13.5">
      <c r="B53" s="3">
        <v>42537</v>
      </c>
      <c r="D53" s="6">
        <f t="shared" si="10"/>
        <v>0.004233189524167287</v>
      </c>
      <c r="E53" s="7"/>
      <c r="F53" s="7">
        <f t="shared" si="11"/>
        <v>0.5367098592307443</v>
      </c>
      <c r="G53" s="4">
        <f t="shared" si="12"/>
        <v>53</v>
      </c>
      <c r="H53" s="6">
        <f t="shared" si="13"/>
        <v>-0.004233189524167287</v>
      </c>
      <c r="I53" s="6">
        <f t="shared" si="14"/>
        <v>0.004233189524167287</v>
      </c>
      <c r="K53" s="6"/>
      <c r="L53" s="6"/>
      <c r="N53" s="3">
        <v>39985</v>
      </c>
      <c r="O53" t="s">
        <v>65</v>
      </c>
      <c r="P53" s="6"/>
      <c r="Q53" s="6">
        <v>1700</v>
      </c>
      <c r="R53" s="6">
        <f t="shared" si="20"/>
        <v>37804</v>
      </c>
      <c r="S53" s="11" t="s">
        <v>10</v>
      </c>
      <c r="V53" s="3">
        <v>40193</v>
      </c>
      <c r="W53" t="s">
        <v>509</v>
      </c>
      <c r="Y53" s="7">
        <v>196</v>
      </c>
      <c r="Z53" s="6">
        <f t="shared" si="21"/>
        <v>11022</v>
      </c>
      <c r="AA53" s="11" t="s">
        <v>10</v>
      </c>
      <c r="AB53" s="7">
        <f t="shared" si="17"/>
        <v>648.3529411764706</v>
      </c>
    </row>
    <row r="54" spans="2:28" ht="13.5">
      <c r="B54" s="3">
        <v>42603</v>
      </c>
      <c r="D54" s="6">
        <f t="shared" si="10"/>
        <v>0.005313427606384368</v>
      </c>
      <c r="E54" s="7"/>
      <c r="F54" s="7">
        <f t="shared" si="11"/>
        <v>0.5420232868371286</v>
      </c>
      <c r="G54" s="4">
        <f t="shared" si="12"/>
        <v>66</v>
      </c>
      <c r="H54" s="6">
        <f t="shared" si="13"/>
        <v>-0.005313427606384368</v>
      </c>
      <c r="I54" s="6">
        <f t="shared" si="14"/>
        <v>0.005313427606384368</v>
      </c>
      <c r="K54" s="6"/>
      <c r="L54" s="6"/>
      <c r="N54" s="3">
        <v>39985</v>
      </c>
      <c r="O54" t="s">
        <v>41</v>
      </c>
      <c r="P54" s="6"/>
      <c r="Q54" s="6">
        <v>18000</v>
      </c>
      <c r="R54" s="6">
        <f t="shared" si="20"/>
        <v>19804</v>
      </c>
      <c r="S54" s="11" t="s">
        <v>10</v>
      </c>
      <c r="V54" s="3">
        <v>40193</v>
      </c>
      <c r="W54" t="s">
        <v>510</v>
      </c>
      <c r="Y54" s="7">
        <v>198</v>
      </c>
      <c r="Z54" s="6">
        <f t="shared" si="21"/>
        <v>10824</v>
      </c>
      <c r="AA54" s="11" t="s">
        <v>10</v>
      </c>
      <c r="AB54" s="7">
        <f t="shared" si="17"/>
        <v>636.7058823529412</v>
      </c>
    </row>
    <row r="55" spans="2:28" ht="13.5">
      <c r="B55" s="3">
        <v>42659</v>
      </c>
      <c r="D55" s="6">
        <f t="shared" si="10"/>
        <v>0.004552995609431881</v>
      </c>
      <c r="E55" s="7"/>
      <c r="F55" s="7">
        <f t="shared" si="11"/>
        <v>0.5465762824465605</v>
      </c>
      <c r="G55" s="4">
        <f t="shared" si="12"/>
        <v>56</v>
      </c>
      <c r="H55" s="6">
        <f t="shared" si="13"/>
        <v>-0.004552995609431881</v>
      </c>
      <c r="I55" s="6">
        <f t="shared" si="14"/>
        <v>0.004552995609431881</v>
      </c>
      <c r="K55" s="6"/>
      <c r="L55" s="6"/>
      <c r="N55" s="3">
        <v>39985</v>
      </c>
      <c r="O55" t="s">
        <v>40</v>
      </c>
      <c r="P55" s="6"/>
      <c r="Q55" s="6">
        <v>120</v>
      </c>
      <c r="R55" s="6">
        <f t="shared" si="20"/>
        <v>19684</v>
      </c>
      <c r="S55" s="11" t="s">
        <v>10</v>
      </c>
      <c r="V55" s="3">
        <v>40193</v>
      </c>
      <c r="W55" t="s">
        <v>490</v>
      </c>
      <c r="Y55" s="7">
        <v>5</v>
      </c>
      <c r="Z55" s="6">
        <f t="shared" si="21"/>
        <v>10819</v>
      </c>
      <c r="AA55" s="11" t="s">
        <v>10</v>
      </c>
      <c r="AB55" s="7">
        <f t="shared" si="17"/>
        <v>636.4117647058823</v>
      </c>
    </row>
    <row r="56" spans="2:28" ht="13.5">
      <c r="B56" s="3">
        <v>42722</v>
      </c>
      <c r="D56" s="6">
        <f t="shared" si="10"/>
        <v>0.005165145869119996</v>
      </c>
      <c r="E56" s="7"/>
      <c r="F56" s="7">
        <f t="shared" si="11"/>
        <v>0.5517414283156805</v>
      </c>
      <c r="G56" s="4">
        <f t="shared" si="12"/>
        <v>63</v>
      </c>
      <c r="H56" s="6">
        <f t="shared" si="13"/>
        <v>-0.005165145869119996</v>
      </c>
      <c r="I56" s="6">
        <f t="shared" si="14"/>
        <v>0.005165145869119996</v>
      </c>
      <c r="K56" s="6"/>
      <c r="L56" s="6"/>
      <c r="N56" s="3">
        <v>39985</v>
      </c>
      <c r="O56" t="s">
        <v>66</v>
      </c>
      <c r="P56" s="6"/>
      <c r="Q56" s="6">
        <v>1200</v>
      </c>
      <c r="R56" s="6">
        <f t="shared" si="20"/>
        <v>18484</v>
      </c>
      <c r="S56" s="11" t="s">
        <v>10</v>
      </c>
      <c r="V56" s="3">
        <v>40193</v>
      </c>
      <c r="W56" t="s">
        <v>350</v>
      </c>
      <c r="Y56" s="7">
        <v>300</v>
      </c>
      <c r="Z56" s="6">
        <f t="shared" si="21"/>
        <v>10519</v>
      </c>
      <c r="AA56" s="11" t="s">
        <v>10</v>
      </c>
      <c r="AB56" s="7">
        <f t="shared" si="17"/>
        <v>618.7647058823529</v>
      </c>
    </row>
    <row r="57" spans="4:28" ht="13.5">
      <c r="D57" s="6"/>
      <c r="E57" s="7"/>
      <c r="F57" s="7"/>
      <c r="G57" s="4"/>
      <c r="H57" s="6"/>
      <c r="I57" s="6"/>
      <c r="K57" s="6"/>
      <c r="L57" s="6"/>
      <c r="N57" s="3">
        <v>39985</v>
      </c>
      <c r="O57" t="s">
        <v>69</v>
      </c>
      <c r="P57" s="6"/>
      <c r="Q57" s="6">
        <v>2500</v>
      </c>
      <c r="R57" s="6">
        <f t="shared" si="20"/>
        <v>15984</v>
      </c>
      <c r="S57" s="11" t="s">
        <v>10</v>
      </c>
      <c r="V57" s="3">
        <v>40193</v>
      </c>
      <c r="W57" t="s">
        <v>347</v>
      </c>
      <c r="Y57" s="7">
        <v>890</v>
      </c>
      <c r="Z57" s="6">
        <f t="shared" si="21"/>
        <v>9629</v>
      </c>
      <c r="AA57" s="11" t="s">
        <v>10</v>
      </c>
      <c r="AB57" s="7">
        <f t="shared" si="17"/>
        <v>566.4117647058823</v>
      </c>
    </row>
    <row r="58" spans="14:28" ht="13.5">
      <c r="N58" s="3">
        <v>39985</v>
      </c>
      <c r="O58" t="s">
        <v>67</v>
      </c>
      <c r="P58" s="6"/>
      <c r="Q58" s="6">
        <f>6549-1600-2500</f>
        <v>2449</v>
      </c>
      <c r="R58" s="6">
        <f aca="true" t="shared" si="22" ref="R58:R63">+R57+P58-Q58</f>
        <v>13535</v>
      </c>
      <c r="S58" s="11" t="s">
        <v>10</v>
      </c>
      <c r="V58" s="3">
        <v>40193</v>
      </c>
      <c r="W58" t="s">
        <v>65</v>
      </c>
      <c r="Y58" s="7">
        <v>1120</v>
      </c>
      <c r="Z58" s="6">
        <f t="shared" si="21"/>
        <v>8509</v>
      </c>
      <c r="AA58" s="11" t="s">
        <v>10</v>
      </c>
      <c r="AB58" s="7">
        <f t="shared" si="17"/>
        <v>500.52941176470586</v>
      </c>
    </row>
    <row r="59" spans="14:28" ht="13.5">
      <c r="N59" s="3">
        <v>39985</v>
      </c>
      <c r="O59" t="s">
        <v>68</v>
      </c>
      <c r="P59" s="6">
        <v>50000</v>
      </c>
      <c r="Q59" s="6"/>
      <c r="R59" s="6">
        <f t="shared" si="22"/>
        <v>63535</v>
      </c>
      <c r="S59" s="11" t="s">
        <v>10</v>
      </c>
      <c r="V59" s="3">
        <v>40196</v>
      </c>
      <c r="W59" t="s">
        <v>369</v>
      </c>
      <c r="Y59" s="7">
        <v>1136</v>
      </c>
      <c r="Z59" s="6">
        <f t="shared" si="21"/>
        <v>7373</v>
      </c>
      <c r="AA59" s="11" t="s">
        <v>10</v>
      </c>
      <c r="AB59" s="7">
        <f t="shared" si="17"/>
        <v>526.6428571428571</v>
      </c>
    </row>
    <row r="60" spans="14:28" ht="13.5">
      <c r="N60" s="3">
        <v>39985</v>
      </c>
      <c r="O60" t="s">
        <v>70</v>
      </c>
      <c r="P60" s="6"/>
      <c r="Q60" s="6">
        <v>50000</v>
      </c>
      <c r="R60" s="6">
        <f t="shared" si="22"/>
        <v>13535</v>
      </c>
      <c r="S60" s="11" t="s">
        <v>10</v>
      </c>
      <c r="V60" s="3">
        <v>40196</v>
      </c>
      <c r="W60" t="s">
        <v>506</v>
      </c>
      <c r="Y60" s="7">
        <v>200</v>
      </c>
      <c r="Z60" s="6">
        <f aca="true" t="shared" si="23" ref="Z60:Z75">+Z59+X60-Y60</f>
        <v>7173</v>
      </c>
      <c r="AA60" s="11" t="s">
        <v>10</v>
      </c>
      <c r="AB60" s="7">
        <f t="shared" si="17"/>
        <v>512.3571428571429</v>
      </c>
    </row>
    <row r="61" spans="4:28" ht="13.5">
      <c r="D61" s="10"/>
      <c r="E61" s="10"/>
      <c r="F61" s="10"/>
      <c r="G61" s="10"/>
      <c r="H61" s="10"/>
      <c r="I61" s="10"/>
      <c r="J61" s="10"/>
      <c r="K61" s="10"/>
      <c r="L61" s="10"/>
      <c r="N61" s="3">
        <v>39986</v>
      </c>
      <c r="O61" t="s">
        <v>73</v>
      </c>
      <c r="P61" s="6"/>
      <c r="Q61" s="6">
        <v>330</v>
      </c>
      <c r="R61" s="6">
        <f t="shared" si="22"/>
        <v>13205</v>
      </c>
      <c r="S61" s="11" t="s">
        <v>10</v>
      </c>
      <c r="V61" s="3">
        <v>40196</v>
      </c>
      <c r="W61" t="s">
        <v>222</v>
      </c>
      <c r="Y61" s="7">
        <v>445</v>
      </c>
      <c r="Z61" s="6">
        <f t="shared" si="23"/>
        <v>6728</v>
      </c>
      <c r="AA61" s="11" t="s">
        <v>10</v>
      </c>
      <c r="AB61" s="7">
        <f t="shared" si="17"/>
        <v>480.57142857142856</v>
      </c>
    </row>
    <row r="62" spans="4:28" ht="13.5">
      <c r="D62" s="13"/>
      <c r="E62" s="14"/>
      <c r="F62" s="14"/>
      <c r="G62" s="14"/>
      <c r="H62" s="14"/>
      <c r="I62" s="14"/>
      <c r="J62" s="13"/>
      <c r="K62" s="13"/>
      <c r="L62" s="13"/>
      <c r="N62" s="3">
        <v>39986</v>
      </c>
      <c r="O62" t="s">
        <v>74</v>
      </c>
      <c r="P62" s="6"/>
      <c r="Q62" s="6">
        <v>520</v>
      </c>
      <c r="R62" s="6">
        <f t="shared" si="22"/>
        <v>12685</v>
      </c>
      <c r="S62" s="11" t="s">
        <v>10</v>
      </c>
      <c r="V62" s="3">
        <v>40196</v>
      </c>
      <c r="W62" t="s">
        <v>235</v>
      </c>
      <c r="Y62" s="7">
        <v>105</v>
      </c>
      <c r="Z62" s="6">
        <f t="shared" si="23"/>
        <v>6623</v>
      </c>
      <c r="AA62" s="11" t="s">
        <v>10</v>
      </c>
      <c r="AB62" s="7">
        <f t="shared" si="17"/>
        <v>473.07142857142856</v>
      </c>
    </row>
    <row r="63" spans="4:28" ht="13.5">
      <c r="D63" s="7"/>
      <c r="E63" s="7"/>
      <c r="F63" s="7"/>
      <c r="G63" s="7"/>
      <c r="H63" s="7"/>
      <c r="I63" s="7"/>
      <c r="J63" s="7"/>
      <c r="K63" s="7"/>
      <c r="L63" s="7"/>
      <c r="N63" s="3">
        <v>39986</v>
      </c>
      <c r="O63" t="s">
        <v>75</v>
      </c>
      <c r="P63" s="6"/>
      <c r="Q63" s="6">
        <v>400</v>
      </c>
      <c r="R63" s="6">
        <f t="shared" si="22"/>
        <v>12285</v>
      </c>
      <c r="S63" s="11" t="s">
        <v>10</v>
      </c>
      <c r="V63" s="3">
        <v>40198</v>
      </c>
      <c r="W63" t="s">
        <v>511</v>
      </c>
      <c r="Y63" s="7">
        <f>105*2</f>
        <v>210</v>
      </c>
      <c r="Z63" s="6">
        <f t="shared" si="23"/>
        <v>6413</v>
      </c>
      <c r="AA63" s="11" t="s">
        <v>10</v>
      </c>
      <c r="AB63" s="7">
        <f t="shared" si="17"/>
        <v>534.4166666666666</v>
      </c>
    </row>
    <row r="64" spans="14:28" ht="13.5">
      <c r="N64" s="3">
        <v>39986</v>
      </c>
      <c r="O64" s="11" t="s">
        <v>71</v>
      </c>
      <c r="P64" s="15"/>
      <c r="Q64" s="15">
        <v>-15000</v>
      </c>
      <c r="R64" s="15">
        <f aca="true" t="shared" si="24" ref="R64:R72">+R63+P64-Q64</f>
        <v>27285</v>
      </c>
      <c r="S64" s="11" t="s">
        <v>10</v>
      </c>
      <c r="V64" s="3">
        <v>40200</v>
      </c>
      <c r="W64" t="s">
        <v>235</v>
      </c>
      <c r="Y64" s="7">
        <v>105</v>
      </c>
      <c r="Z64" s="6">
        <f t="shared" si="23"/>
        <v>6308</v>
      </c>
      <c r="AA64" s="11" t="s">
        <v>10</v>
      </c>
      <c r="AB64" s="7">
        <f t="shared" si="17"/>
        <v>630.8</v>
      </c>
    </row>
    <row r="65" spans="14:28" ht="13.5">
      <c r="N65" s="3">
        <v>39986</v>
      </c>
      <c r="O65" t="s">
        <v>43</v>
      </c>
      <c r="P65" s="6">
        <v>-3000</v>
      </c>
      <c r="Q65" s="6">
        <v>2900</v>
      </c>
      <c r="R65" s="6">
        <f t="shared" si="24"/>
        <v>21385</v>
      </c>
      <c r="S65" s="11" t="s">
        <v>10</v>
      </c>
      <c r="V65" s="3">
        <v>40200</v>
      </c>
      <c r="W65" t="s">
        <v>512</v>
      </c>
      <c r="Y65" s="7">
        <v>105</v>
      </c>
      <c r="Z65" s="6">
        <f t="shared" si="23"/>
        <v>6203</v>
      </c>
      <c r="AA65" s="11" t="s">
        <v>10</v>
      </c>
      <c r="AB65" s="7">
        <f t="shared" si="17"/>
        <v>620.3</v>
      </c>
    </row>
    <row r="66" spans="14:28" ht="13.5">
      <c r="N66" s="3">
        <v>39986</v>
      </c>
      <c r="O66" t="s">
        <v>17</v>
      </c>
      <c r="P66" s="6"/>
      <c r="Q66" s="6">
        <v>1096</v>
      </c>
      <c r="R66" s="6">
        <f t="shared" si="24"/>
        <v>20289</v>
      </c>
      <c r="S66" s="11" t="s">
        <v>10</v>
      </c>
      <c r="V66" s="3">
        <v>40200</v>
      </c>
      <c r="W66" t="s">
        <v>124</v>
      </c>
      <c r="Y66" s="7">
        <v>105</v>
      </c>
      <c r="Z66" s="6">
        <f t="shared" si="23"/>
        <v>6098</v>
      </c>
      <c r="AA66" s="11" t="s">
        <v>10</v>
      </c>
      <c r="AB66" s="7">
        <f t="shared" si="17"/>
        <v>609.8</v>
      </c>
    </row>
    <row r="67" spans="14:28" ht="13.5">
      <c r="N67" s="3">
        <v>39986</v>
      </c>
      <c r="O67" t="s">
        <v>79</v>
      </c>
      <c r="P67" s="6"/>
      <c r="Q67" s="6">
        <f>398+15</f>
        <v>413</v>
      </c>
      <c r="R67" s="6">
        <f t="shared" si="24"/>
        <v>19876</v>
      </c>
      <c r="S67" s="11" t="s">
        <v>10</v>
      </c>
      <c r="V67" s="3">
        <v>40200</v>
      </c>
      <c r="W67" t="s">
        <v>126</v>
      </c>
      <c r="Y67" s="7">
        <v>105</v>
      </c>
      <c r="Z67" s="6">
        <f t="shared" si="23"/>
        <v>5993</v>
      </c>
      <c r="AA67" s="11" t="s">
        <v>10</v>
      </c>
      <c r="AB67" s="7">
        <f t="shared" si="17"/>
        <v>599.3</v>
      </c>
    </row>
    <row r="68" spans="4:28" ht="13.5">
      <c r="D68" s="10"/>
      <c r="E68" s="10"/>
      <c r="F68" s="10"/>
      <c r="G68" s="10"/>
      <c r="H68" s="10"/>
      <c r="I68" s="10"/>
      <c r="J68" s="10"/>
      <c r="K68" s="10"/>
      <c r="L68" s="10"/>
      <c r="N68" s="3">
        <v>39986</v>
      </c>
      <c r="O68" t="s">
        <v>80</v>
      </c>
      <c r="P68" s="6"/>
      <c r="Q68" s="6">
        <v>258</v>
      </c>
      <c r="R68" s="6">
        <f t="shared" si="24"/>
        <v>19618</v>
      </c>
      <c r="S68" s="11" t="s">
        <v>10</v>
      </c>
      <c r="V68" s="3">
        <v>40200</v>
      </c>
      <c r="W68" t="s">
        <v>131</v>
      </c>
      <c r="Y68" s="7">
        <v>105</v>
      </c>
      <c r="Z68" s="6">
        <f t="shared" si="23"/>
        <v>5888</v>
      </c>
      <c r="AA68" s="11" t="s">
        <v>10</v>
      </c>
      <c r="AB68" s="7">
        <f t="shared" si="17"/>
        <v>588.8</v>
      </c>
    </row>
    <row r="69" spans="4:28" ht="13.5">
      <c r="D69" s="13" t="s">
        <v>0</v>
      </c>
      <c r="E69" s="14" t="s">
        <v>1</v>
      </c>
      <c r="F69" s="14" t="s">
        <v>31</v>
      </c>
      <c r="G69" s="14"/>
      <c r="H69" s="14" t="s">
        <v>9</v>
      </c>
      <c r="I69" s="14" t="s">
        <v>0</v>
      </c>
      <c r="J69" s="13"/>
      <c r="K69" s="13" t="s">
        <v>6</v>
      </c>
      <c r="L69" s="13"/>
      <c r="N69" s="3">
        <v>39986</v>
      </c>
      <c r="O69" t="s">
        <v>81</v>
      </c>
      <c r="P69" s="6"/>
      <c r="Q69" s="6">
        <v>105</v>
      </c>
      <c r="R69" s="6">
        <f t="shared" si="24"/>
        <v>19513</v>
      </c>
      <c r="S69" s="11" t="s">
        <v>10</v>
      </c>
      <c r="V69" s="3">
        <v>40200</v>
      </c>
      <c r="W69" t="s">
        <v>429</v>
      </c>
      <c r="Y69" s="7">
        <v>105</v>
      </c>
      <c r="Z69" s="6">
        <f t="shared" si="23"/>
        <v>5783</v>
      </c>
      <c r="AA69" s="11" t="s">
        <v>10</v>
      </c>
      <c r="AB69" s="7">
        <f t="shared" si="17"/>
        <v>578.3</v>
      </c>
    </row>
    <row r="70" spans="4:28" ht="13.5">
      <c r="D70" s="7">
        <f>SUM(D$6:D69)</f>
        <v>364221.5517414282</v>
      </c>
      <c r="E70" s="7">
        <f>SUM(E$6:E68)</f>
        <v>364221</v>
      </c>
      <c r="F70" s="7">
        <f>+H70+I70</f>
        <v>392908.9999999999</v>
      </c>
      <c r="G70" s="7"/>
      <c r="H70" s="7">
        <f>SUM(H$7:H69)</f>
        <v>28687.448258571676</v>
      </c>
      <c r="I70" s="7">
        <f>SUM(I$6:I69)</f>
        <v>364221.5517414282</v>
      </c>
      <c r="J70" s="7"/>
      <c r="K70" s="7">
        <f>SUM(K$6:K69)</f>
        <v>392909</v>
      </c>
      <c r="L70" s="7"/>
      <c r="N70" s="3">
        <v>39986</v>
      </c>
      <c r="O70" t="s">
        <v>82</v>
      </c>
      <c r="P70" s="6"/>
      <c r="Q70" s="6">
        <v>315</v>
      </c>
      <c r="R70" s="6">
        <f t="shared" si="24"/>
        <v>19198</v>
      </c>
      <c r="S70" s="11" t="s">
        <v>10</v>
      </c>
      <c r="V70" s="3">
        <v>40200</v>
      </c>
      <c r="W70" t="s">
        <v>369</v>
      </c>
      <c r="Y70" s="7">
        <v>996</v>
      </c>
      <c r="Z70" s="6">
        <f t="shared" si="23"/>
        <v>4787</v>
      </c>
      <c r="AA70" s="11" t="s">
        <v>10</v>
      </c>
      <c r="AB70" s="7">
        <f aca="true" t="shared" si="25" ref="AB70:AB79">+Z70/(40210-V70)</f>
        <v>478.7</v>
      </c>
    </row>
    <row r="71" spans="14:28" ht="13.5">
      <c r="N71" s="3">
        <v>39986</v>
      </c>
      <c r="O71" t="s">
        <v>28</v>
      </c>
      <c r="P71" s="6"/>
      <c r="Q71" s="6">
        <v>7870</v>
      </c>
      <c r="R71" s="6">
        <f t="shared" si="24"/>
        <v>11328</v>
      </c>
      <c r="S71" s="11" t="s">
        <v>10</v>
      </c>
      <c r="V71" s="3">
        <v>40200</v>
      </c>
      <c r="W71" t="s">
        <v>312</v>
      </c>
      <c r="Y71" s="7">
        <v>1550</v>
      </c>
      <c r="Z71" s="6">
        <f t="shared" si="23"/>
        <v>3237</v>
      </c>
      <c r="AA71" s="11" t="s">
        <v>10</v>
      </c>
      <c r="AB71" s="7">
        <f t="shared" si="25"/>
        <v>323.7</v>
      </c>
    </row>
    <row r="72" spans="14:28" ht="13.5">
      <c r="N72" s="3">
        <v>39987</v>
      </c>
      <c r="O72" t="s">
        <v>83</v>
      </c>
      <c r="P72" s="6"/>
      <c r="Q72" s="6">
        <v>120</v>
      </c>
      <c r="R72" s="6">
        <f t="shared" si="24"/>
        <v>11208</v>
      </c>
      <c r="S72" s="11" t="s">
        <v>10</v>
      </c>
      <c r="V72" s="3">
        <v>40203</v>
      </c>
      <c r="W72" t="s">
        <v>513</v>
      </c>
      <c r="X72" s="7">
        <v>1136</v>
      </c>
      <c r="Y72" s="7">
        <v>1136</v>
      </c>
      <c r="Z72" s="6">
        <f t="shared" si="23"/>
        <v>3237</v>
      </c>
      <c r="AA72" s="11" t="s">
        <v>514</v>
      </c>
      <c r="AB72" s="7">
        <f t="shared" si="25"/>
        <v>462.42857142857144</v>
      </c>
    </row>
    <row r="73" spans="14:28" ht="13.5">
      <c r="N73" s="3">
        <v>39988</v>
      </c>
      <c r="O73" t="s">
        <v>83</v>
      </c>
      <c r="P73" s="6"/>
      <c r="Q73" s="6">
        <v>120</v>
      </c>
      <c r="R73" s="6">
        <f aca="true" t="shared" si="26" ref="R73:R78">+R72+P73-Q73</f>
        <v>11088</v>
      </c>
      <c r="S73" s="11" t="s">
        <v>10</v>
      </c>
      <c r="V73" s="3">
        <v>40203</v>
      </c>
      <c r="W73" t="s">
        <v>515</v>
      </c>
      <c r="X73" s="7"/>
      <c r="Y73" s="7">
        <v>470</v>
      </c>
      <c r="Z73" s="6">
        <f t="shared" si="23"/>
        <v>2767</v>
      </c>
      <c r="AA73" s="11" t="s">
        <v>10</v>
      </c>
      <c r="AB73" s="7">
        <f t="shared" si="25"/>
        <v>395.2857142857143</v>
      </c>
    </row>
    <row r="74" spans="14:28" ht="13.5">
      <c r="N74" s="3">
        <v>39988</v>
      </c>
      <c r="O74" t="s">
        <v>84</v>
      </c>
      <c r="P74" s="6"/>
      <c r="Q74" s="6">
        <v>420</v>
      </c>
      <c r="R74" s="6">
        <f t="shared" si="26"/>
        <v>10668</v>
      </c>
      <c r="S74" s="11" t="s">
        <v>10</v>
      </c>
      <c r="V74" s="3">
        <v>40203</v>
      </c>
      <c r="W74" t="s">
        <v>126</v>
      </c>
      <c r="X74" s="7"/>
      <c r="Y74" s="7">
        <v>105</v>
      </c>
      <c r="Z74" s="6">
        <f t="shared" si="23"/>
        <v>2662</v>
      </c>
      <c r="AA74" s="11" t="s">
        <v>10</v>
      </c>
      <c r="AB74" s="7">
        <f t="shared" si="25"/>
        <v>380.2857142857143</v>
      </c>
    </row>
    <row r="75" spans="14:28" ht="13.5">
      <c r="N75" s="3">
        <v>39990</v>
      </c>
      <c r="O75" t="s">
        <v>17</v>
      </c>
      <c r="P75" s="6"/>
      <c r="Q75" s="6">
        <v>1184</v>
      </c>
      <c r="R75" s="6">
        <f>+R74+P75-Q75</f>
        <v>9484</v>
      </c>
      <c r="S75" s="11" t="s">
        <v>10</v>
      </c>
      <c r="V75" s="3">
        <v>40203</v>
      </c>
      <c r="W75" t="s">
        <v>80</v>
      </c>
      <c r="X75" s="7"/>
      <c r="Y75" s="7">
        <v>105</v>
      </c>
      <c r="Z75" s="6">
        <f t="shared" si="23"/>
        <v>2557</v>
      </c>
      <c r="AA75" s="11" t="s">
        <v>10</v>
      </c>
      <c r="AB75" s="7">
        <f t="shared" si="25"/>
        <v>365.2857142857143</v>
      </c>
    </row>
    <row r="76" spans="14:28" ht="13.5">
      <c r="N76" s="3">
        <v>39990</v>
      </c>
      <c r="O76" t="s">
        <v>89</v>
      </c>
      <c r="P76" s="6"/>
      <c r="Q76" s="6">
        <v>100</v>
      </c>
      <c r="R76" s="6">
        <f>+R75+P76-Q76</f>
        <v>9384</v>
      </c>
      <c r="S76" s="11" t="s">
        <v>10</v>
      </c>
      <c r="V76" s="3">
        <v>40205</v>
      </c>
      <c r="W76" t="s">
        <v>516</v>
      </c>
      <c r="X76" s="7"/>
      <c r="Y76" s="7">
        <v>305</v>
      </c>
      <c r="Z76" s="6">
        <f>+Z75+X76-Y76</f>
        <v>2252</v>
      </c>
      <c r="AA76" s="11" t="s">
        <v>10</v>
      </c>
      <c r="AB76" s="7">
        <f t="shared" si="25"/>
        <v>450.4</v>
      </c>
    </row>
    <row r="77" spans="3:28" ht="17.25">
      <c r="C77" s="18" t="s">
        <v>162</v>
      </c>
      <c r="E77" s="11" t="s">
        <v>111</v>
      </c>
      <c r="F77" s="11" t="s">
        <v>140</v>
      </c>
      <c r="N77" s="3">
        <v>39990</v>
      </c>
      <c r="O77" t="s">
        <v>90</v>
      </c>
      <c r="P77" s="15">
        <v>8188</v>
      </c>
      <c r="Q77" s="15">
        <v>8188</v>
      </c>
      <c r="R77" s="6">
        <f>+R76+P77-Q77</f>
        <v>9384</v>
      </c>
      <c r="S77" s="11" t="s">
        <v>10</v>
      </c>
      <c r="V77" s="3">
        <v>40207</v>
      </c>
      <c r="W77" t="s">
        <v>517</v>
      </c>
      <c r="X77" s="7"/>
      <c r="Y77" s="7">
        <v>498</v>
      </c>
      <c r="Z77" s="6">
        <f>+Z76+X77-Y77</f>
        <v>1754</v>
      </c>
      <c r="AA77" s="11" t="s">
        <v>10</v>
      </c>
      <c r="AB77" s="7">
        <f t="shared" si="25"/>
        <v>584.6666666666666</v>
      </c>
    </row>
    <row r="78" spans="6:28" ht="13.5">
      <c r="F78" s="7">
        <v>0</v>
      </c>
      <c r="G78" s="11" t="s">
        <v>10</v>
      </c>
      <c r="N78" s="3">
        <v>39990</v>
      </c>
      <c r="O78" t="s">
        <v>97</v>
      </c>
      <c r="P78" s="6"/>
      <c r="Q78" s="6"/>
      <c r="R78" s="6">
        <f t="shared" si="26"/>
        <v>9384</v>
      </c>
      <c r="S78" s="11" t="s">
        <v>10</v>
      </c>
      <c r="V78" s="3">
        <v>40207</v>
      </c>
      <c r="W78" t="s">
        <v>516</v>
      </c>
      <c r="X78" s="7"/>
      <c r="Y78" s="7">
        <f>100+50+105</f>
        <v>255</v>
      </c>
      <c r="Z78" s="6">
        <f>+Z77+X78-Y78</f>
        <v>1499</v>
      </c>
      <c r="AA78" s="11" t="s">
        <v>10</v>
      </c>
      <c r="AB78" s="7">
        <f t="shared" si="25"/>
        <v>499.6666666666667</v>
      </c>
    </row>
    <row r="79" spans="2:28" ht="13.5">
      <c r="B79" s="3">
        <v>39994</v>
      </c>
      <c r="C79" t="s">
        <v>142</v>
      </c>
      <c r="D79" s="7">
        <v>5440</v>
      </c>
      <c r="E79" s="7">
        <v>5440</v>
      </c>
      <c r="F79" s="7">
        <f aca="true" t="shared" si="27" ref="F79:F85">+F78+D79-E79</f>
        <v>0</v>
      </c>
      <c r="G79" s="11" t="s">
        <v>10</v>
      </c>
      <c r="N79" s="3">
        <v>39990</v>
      </c>
      <c r="O79" t="s">
        <v>91</v>
      </c>
      <c r="P79" s="6"/>
      <c r="Q79" s="6">
        <v>105</v>
      </c>
      <c r="R79" s="6">
        <f aca="true" t="shared" si="28" ref="R79:R84">+R78+P79-Q79</f>
        <v>9279</v>
      </c>
      <c r="S79" s="11" t="s">
        <v>10</v>
      </c>
      <c r="V79" s="3">
        <v>40207</v>
      </c>
      <c r="W79" t="s">
        <v>518</v>
      </c>
      <c r="X79" s="7"/>
      <c r="Y79" s="7">
        <v>900</v>
      </c>
      <c r="Z79" s="6">
        <f>+Z78+X79-Y79</f>
        <v>599</v>
      </c>
      <c r="AA79" s="11" t="s">
        <v>10</v>
      </c>
      <c r="AB79" s="7">
        <f t="shared" si="25"/>
        <v>199.66666666666666</v>
      </c>
    </row>
    <row r="80" spans="2:28" ht="13.5">
      <c r="B80" s="3">
        <v>40018</v>
      </c>
      <c r="C80" t="s">
        <v>154</v>
      </c>
      <c r="D80" s="7"/>
      <c r="E80" s="7">
        <v>1000</v>
      </c>
      <c r="F80" s="7">
        <f t="shared" si="27"/>
        <v>-1000</v>
      </c>
      <c r="G80" s="11" t="s">
        <v>10</v>
      </c>
      <c r="N80" s="3">
        <v>39992</v>
      </c>
      <c r="O80" t="s">
        <v>93</v>
      </c>
      <c r="P80" s="6"/>
      <c r="Q80" s="6">
        <v>50</v>
      </c>
      <c r="R80" s="6">
        <f t="shared" si="28"/>
        <v>9229</v>
      </c>
      <c r="S80" s="11" t="s">
        <v>10</v>
      </c>
      <c r="V80" s="3">
        <v>40210</v>
      </c>
      <c r="W80" s="11" t="s">
        <v>29</v>
      </c>
      <c r="X80" s="16">
        <v>45000</v>
      </c>
      <c r="Y80" s="7"/>
      <c r="Z80" s="6">
        <f aca="true" t="shared" si="29" ref="Z80:Z90">+Z79+X80-Y80</f>
        <v>45599</v>
      </c>
      <c r="AA80" s="11" t="s">
        <v>10</v>
      </c>
      <c r="AB80" s="7">
        <f aca="true" t="shared" si="30" ref="AB80:AB96">+Z80/(40238-V80)</f>
        <v>1628.5357142857142</v>
      </c>
    </row>
    <row r="81" spans="2:28" ht="13.5">
      <c r="B81" s="3">
        <v>40018</v>
      </c>
      <c r="C81" t="s">
        <v>147</v>
      </c>
      <c r="D81" s="7"/>
      <c r="E81" s="7">
        <v>-1000</v>
      </c>
      <c r="F81" s="7">
        <f t="shared" si="27"/>
        <v>0</v>
      </c>
      <c r="G81" s="11" t="s">
        <v>10</v>
      </c>
      <c r="N81" s="3">
        <v>39992</v>
      </c>
      <c r="O81" t="s">
        <v>94</v>
      </c>
      <c r="P81" s="6"/>
      <c r="Q81" s="6">
        <v>1155</v>
      </c>
      <c r="R81" s="6">
        <f t="shared" si="28"/>
        <v>8074</v>
      </c>
      <c r="S81" s="11" t="s">
        <v>10</v>
      </c>
      <c r="V81" s="3">
        <v>40210</v>
      </c>
      <c r="W81" t="s">
        <v>519</v>
      </c>
      <c r="Y81" s="7">
        <f>12860+4330</f>
        <v>17190</v>
      </c>
      <c r="Z81" s="6">
        <f t="shared" si="29"/>
        <v>28409</v>
      </c>
      <c r="AA81" s="11" t="s">
        <v>10</v>
      </c>
      <c r="AB81" s="7">
        <f t="shared" si="30"/>
        <v>1014.6071428571429</v>
      </c>
    </row>
    <row r="82" spans="2:28" ht="13.5">
      <c r="B82" s="3">
        <v>40024</v>
      </c>
      <c r="C82" t="s">
        <v>153</v>
      </c>
      <c r="D82" s="7">
        <f>291+268</f>
        <v>559</v>
      </c>
      <c r="E82" s="7"/>
      <c r="F82" s="7">
        <f t="shared" si="27"/>
        <v>559</v>
      </c>
      <c r="G82" s="11" t="s">
        <v>10</v>
      </c>
      <c r="N82" s="3">
        <v>39992</v>
      </c>
      <c r="O82" t="s">
        <v>95</v>
      </c>
      <c r="P82" s="6"/>
      <c r="Q82" s="6">
        <f>683-20</f>
        <v>663</v>
      </c>
      <c r="R82" s="6">
        <f t="shared" si="28"/>
        <v>7411</v>
      </c>
      <c r="S82" s="11" t="s">
        <v>10</v>
      </c>
      <c r="V82" s="3">
        <v>40210</v>
      </c>
      <c r="W82" t="s">
        <v>520</v>
      </c>
      <c r="Y82" s="7">
        <v>2729</v>
      </c>
      <c r="Z82" s="6">
        <f t="shared" si="29"/>
        <v>25680</v>
      </c>
      <c r="AA82" s="11" t="s">
        <v>10</v>
      </c>
      <c r="AB82" s="7">
        <f t="shared" si="30"/>
        <v>917.1428571428571</v>
      </c>
    </row>
    <row r="83" spans="2:28" ht="13.5">
      <c r="B83" s="3">
        <v>40024</v>
      </c>
      <c r="C83" t="s">
        <v>85</v>
      </c>
      <c r="D83" s="7">
        <v>45000</v>
      </c>
      <c r="F83" s="7">
        <f t="shared" si="27"/>
        <v>45559</v>
      </c>
      <c r="G83" s="11" t="s">
        <v>102</v>
      </c>
      <c r="N83" s="3">
        <v>39992</v>
      </c>
      <c r="O83" t="s">
        <v>96</v>
      </c>
      <c r="P83" s="6"/>
      <c r="Q83" s="6">
        <v>600</v>
      </c>
      <c r="R83" s="6">
        <f t="shared" si="28"/>
        <v>6811</v>
      </c>
      <c r="S83" s="11" t="s">
        <v>10</v>
      </c>
      <c r="V83" s="3">
        <v>40210</v>
      </c>
      <c r="W83" t="s">
        <v>521</v>
      </c>
      <c r="Y83" s="7">
        <f>300*5</f>
        <v>1500</v>
      </c>
      <c r="Z83" s="6">
        <f t="shared" si="29"/>
        <v>24180</v>
      </c>
      <c r="AA83" s="11" t="s">
        <v>10</v>
      </c>
      <c r="AB83" s="7">
        <f t="shared" si="30"/>
        <v>863.5714285714286</v>
      </c>
    </row>
    <row r="84" spans="2:28" ht="13.5">
      <c r="B84" s="3">
        <v>40024</v>
      </c>
      <c r="C84" t="s">
        <v>135</v>
      </c>
      <c r="E84" s="7">
        <v>4300</v>
      </c>
      <c r="F84" s="7">
        <f t="shared" si="27"/>
        <v>41259</v>
      </c>
      <c r="G84" s="11" t="s">
        <v>10</v>
      </c>
      <c r="N84" s="3">
        <v>39993</v>
      </c>
      <c r="O84" t="s">
        <v>101</v>
      </c>
      <c r="P84" s="6"/>
      <c r="Q84" s="6">
        <v>120</v>
      </c>
      <c r="R84" s="6">
        <f t="shared" si="28"/>
        <v>6691</v>
      </c>
      <c r="S84" s="11" t="s">
        <v>10</v>
      </c>
      <c r="V84" s="3">
        <v>40210</v>
      </c>
      <c r="W84" t="s">
        <v>522</v>
      </c>
      <c r="Y84" s="7">
        <v>100</v>
      </c>
      <c r="Z84" s="6">
        <f t="shared" si="29"/>
        <v>24080</v>
      </c>
      <c r="AA84" s="11" t="s">
        <v>10</v>
      </c>
      <c r="AB84" s="7">
        <f t="shared" si="30"/>
        <v>860</v>
      </c>
    </row>
    <row r="85" spans="2:28" ht="13.5">
      <c r="B85" s="3">
        <v>40024</v>
      </c>
      <c r="C85" t="s">
        <v>133</v>
      </c>
      <c r="E85" s="7">
        <v>1980</v>
      </c>
      <c r="F85" s="7">
        <f t="shared" si="27"/>
        <v>39279</v>
      </c>
      <c r="G85" s="11" t="s">
        <v>10</v>
      </c>
      <c r="N85" s="3">
        <v>39993</v>
      </c>
      <c r="O85" t="s">
        <v>17</v>
      </c>
      <c r="P85" s="6"/>
      <c r="Q85" s="6">
        <v>996</v>
      </c>
      <c r="R85" s="6">
        <f aca="true" t="shared" si="31" ref="R85:R93">+R84+P85-Q85</f>
        <v>5695</v>
      </c>
      <c r="S85" s="11" t="s">
        <v>10</v>
      </c>
      <c r="V85" s="3">
        <v>40210</v>
      </c>
      <c r="W85" t="s">
        <v>523</v>
      </c>
      <c r="Y85" s="7">
        <v>250</v>
      </c>
      <c r="Z85" s="6">
        <f t="shared" si="29"/>
        <v>23830</v>
      </c>
      <c r="AA85" s="11" t="s">
        <v>10</v>
      </c>
      <c r="AB85" s="7">
        <f t="shared" si="30"/>
        <v>851.0714285714286</v>
      </c>
    </row>
    <row r="86" spans="2:28" ht="13.5">
      <c r="B86" s="3">
        <v>40024</v>
      </c>
      <c r="C86" t="s">
        <v>148</v>
      </c>
      <c r="E86" s="7">
        <f>2449-(100+398+148+198-40+209+498)</f>
        <v>938</v>
      </c>
      <c r="F86" s="7">
        <f aca="true" t="shared" si="32" ref="F86:F114">+F85+D86-E86</f>
        <v>38341</v>
      </c>
      <c r="G86" s="11" t="s">
        <v>10</v>
      </c>
      <c r="N86" s="3">
        <v>39993</v>
      </c>
      <c r="O86" t="s">
        <v>98</v>
      </c>
      <c r="P86" s="6"/>
      <c r="Q86" s="6">
        <v>210</v>
      </c>
      <c r="R86" s="6">
        <f t="shared" si="31"/>
        <v>5485</v>
      </c>
      <c r="S86" s="11" t="s">
        <v>10</v>
      </c>
      <c r="V86" s="3">
        <v>40210</v>
      </c>
      <c r="W86" t="s">
        <v>243</v>
      </c>
      <c r="Y86" s="7">
        <v>194</v>
      </c>
      <c r="Z86" s="6">
        <f t="shared" si="29"/>
        <v>23636</v>
      </c>
      <c r="AA86" s="11" t="s">
        <v>10</v>
      </c>
      <c r="AB86" s="7">
        <f t="shared" si="30"/>
        <v>844.1428571428571</v>
      </c>
    </row>
    <row r="87" spans="2:28" ht="13.5">
      <c r="B87" s="3">
        <v>40024</v>
      </c>
      <c r="C87" t="s">
        <v>134</v>
      </c>
      <c r="E87" s="7">
        <f>100+398+148+148+198-40+209+498</f>
        <v>1659</v>
      </c>
      <c r="F87" s="7">
        <f t="shared" si="32"/>
        <v>36682</v>
      </c>
      <c r="G87" s="11" t="s">
        <v>10</v>
      </c>
      <c r="N87" s="3">
        <v>39993</v>
      </c>
      <c r="O87" t="s">
        <v>96</v>
      </c>
      <c r="P87" s="6"/>
      <c r="Q87" s="6">
        <v>600</v>
      </c>
      <c r="R87" s="6">
        <f t="shared" si="31"/>
        <v>4885</v>
      </c>
      <c r="S87" s="11" t="s">
        <v>10</v>
      </c>
      <c r="V87" s="3">
        <v>40210</v>
      </c>
      <c r="W87" t="s">
        <v>524</v>
      </c>
      <c r="Y87" s="7">
        <v>125</v>
      </c>
      <c r="Z87" s="6">
        <f t="shared" si="29"/>
        <v>23511</v>
      </c>
      <c r="AA87" s="11" t="s">
        <v>10</v>
      </c>
      <c r="AB87" s="7">
        <f t="shared" si="30"/>
        <v>839.6785714285714</v>
      </c>
    </row>
    <row r="88" spans="2:28" ht="13.5">
      <c r="B88" s="3">
        <v>40024</v>
      </c>
      <c r="C88" t="s">
        <v>145</v>
      </c>
      <c r="E88" s="7">
        <v>870</v>
      </c>
      <c r="F88" s="7">
        <f t="shared" si="32"/>
        <v>35812</v>
      </c>
      <c r="G88" s="11" t="s">
        <v>10</v>
      </c>
      <c r="N88" s="3">
        <v>39994</v>
      </c>
      <c r="O88" s="11" t="s">
        <v>106</v>
      </c>
      <c r="P88" s="15">
        <v>10000</v>
      </c>
      <c r="Q88" s="15"/>
      <c r="R88" s="15">
        <f t="shared" si="31"/>
        <v>14885</v>
      </c>
      <c r="S88" s="11" t="s">
        <v>105</v>
      </c>
      <c r="V88" s="3">
        <v>40210</v>
      </c>
      <c r="W88" t="s">
        <v>525</v>
      </c>
      <c r="Y88" s="7">
        <v>358</v>
      </c>
      <c r="Z88" s="6">
        <f t="shared" si="29"/>
        <v>23153</v>
      </c>
      <c r="AA88" s="11" t="s">
        <v>10</v>
      </c>
      <c r="AB88" s="7">
        <f t="shared" si="30"/>
        <v>826.8928571428571</v>
      </c>
    </row>
    <row r="89" spans="2:28" ht="13.5">
      <c r="B89" s="3">
        <v>40024</v>
      </c>
      <c r="C89" t="s">
        <v>166</v>
      </c>
      <c r="E89" s="7">
        <v>446</v>
      </c>
      <c r="F89" s="7">
        <f t="shared" si="32"/>
        <v>35366</v>
      </c>
      <c r="G89" s="11" t="s">
        <v>10</v>
      </c>
      <c r="N89" s="3">
        <v>39994</v>
      </c>
      <c r="O89" s="11" t="s">
        <v>86</v>
      </c>
      <c r="P89" s="15"/>
      <c r="Q89" s="15">
        <v>4930</v>
      </c>
      <c r="R89" s="15">
        <f t="shared" si="31"/>
        <v>9955</v>
      </c>
      <c r="S89" s="11" t="s">
        <v>105</v>
      </c>
      <c r="V89" s="3">
        <v>40210</v>
      </c>
      <c r="W89" t="s">
        <v>429</v>
      </c>
      <c r="Y89" s="7">
        <v>161</v>
      </c>
      <c r="Z89" s="6">
        <f t="shared" si="29"/>
        <v>22992</v>
      </c>
      <c r="AA89" s="11" t="s">
        <v>10</v>
      </c>
      <c r="AB89" s="7">
        <f t="shared" si="30"/>
        <v>821.1428571428571</v>
      </c>
    </row>
    <row r="90" spans="2:28" ht="13.5">
      <c r="B90" s="3">
        <v>40024</v>
      </c>
      <c r="C90" t="s">
        <v>167</v>
      </c>
      <c r="E90" s="7">
        <v>350</v>
      </c>
      <c r="F90" s="7">
        <f t="shared" si="32"/>
        <v>35016</v>
      </c>
      <c r="G90" s="11" t="s">
        <v>10</v>
      </c>
      <c r="N90" s="3">
        <v>39994</v>
      </c>
      <c r="O90" s="11" t="s">
        <v>87</v>
      </c>
      <c r="P90" s="15"/>
      <c r="Q90" s="15">
        <v>510</v>
      </c>
      <c r="R90" s="15">
        <f t="shared" si="31"/>
        <v>9445</v>
      </c>
      <c r="S90" s="11" t="s">
        <v>105</v>
      </c>
      <c r="V90" s="3">
        <v>40210</v>
      </c>
      <c r="W90" t="s">
        <v>526</v>
      </c>
      <c r="Y90" s="7">
        <v>200</v>
      </c>
      <c r="Z90" s="6">
        <f t="shared" si="29"/>
        <v>22792</v>
      </c>
      <c r="AA90" s="11" t="s">
        <v>10</v>
      </c>
      <c r="AB90" s="7">
        <f t="shared" si="30"/>
        <v>814</v>
      </c>
    </row>
    <row r="91" spans="2:28" ht="13.5">
      <c r="B91" s="3">
        <v>40024</v>
      </c>
      <c r="C91" t="s">
        <v>168</v>
      </c>
      <c r="E91" s="7">
        <v>240</v>
      </c>
      <c r="F91" s="7">
        <f t="shared" si="32"/>
        <v>34776</v>
      </c>
      <c r="G91" s="11" t="s">
        <v>10</v>
      </c>
      <c r="N91" s="3">
        <v>39994</v>
      </c>
      <c r="O91" t="s">
        <v>107</v>
      </c>
      <c r="P91" s="6"/>
      <c r="Q91" s="6">
        <v>360</v>
      </c>
      <c r="R91" s="6">
        <f t="shared" si="31"/>
        <v>9085</v>
      </c>
      <c r="S91" s="11" t="s">
        <v>10</v>
      </c>
      <c r="V91" s="3">
        <v>40210</v>
      </c>
      <c r="W91" t="s">
        <v>527</v>
      </c>
      <c r="X91" s="7"/>
      <c r="Y91" s="7">
        <f>980*2</f>
        <v>1960</v>
      </c>
      <c r="Z91" s="6">
        <f aca="true" t="shared" si="33" ref="Z91:Z96">+Z90+X91-Y91</f>
        <v>20832</v>
      </c>
      <c r="AA91" s="11" t="s">
        <v>10</v>
      </c>
      <c r="AB91" s="7">
        <f t="shared" si="30"/>
        <v>744</v>
      </c>
    </row>
    <row r="92" spans="2:28" ht="13.5">
      <c r="B92" s="3">
        <v>40024</v>
      </c>
      <c r="C92" t="s">
        <v>169</v>
      </c>
      <c r="E92" s="7">
        <v>60</v>
      </c>
      <c r="F92" s="7">
        <f t="shared" si="32"/>
        <v>34716</v>
      </c>
      <c r="G92" s="11" t="s">
        <v>10</v>
      </c>
      <c r="N92" s="3">
        <v>39994</v>
      </c>
      <c r="O92" t="s">
        <v>108</v>
      </c>
      <c r="P92" s="6"/>
      <c r="Q92" s="6">
        <v>410</v>
      </c>
      <c r="R92" s="6">
        <f t="shared" si="31"/>
        <v>8675</v>
      </c>
      <c r="S92" s="11" t="s">
        <v>10</v>
      </c>
      <c r="V92" s="3">
        <v>40210</v>
      </c>
      <c r="W92" t="s">
        <v>528</v>
      </c>
      <c r="X92" s="7"/>
      <c r="Y92" s="7">
        <v>145</v>
      </c>
      <c r="Z92" s="6">
        <f t="shared" si="33"/>
        <v>20687</v>
      </c>
      <c r="AA92" s="11" t="s">
        <v>10</v>
      </c>
      <c r="AB92" s="7">
        <f t="shared" si="30"/>
        <v>738.8214285714286</v>
      </c>
    </row>
    <row r="93" spans="2:28" ht="13.5">
      <c r="B93" s="3">
        <v>40024</v>
      </c>
      <c r="C93" t="s">
        <v>138</v>
      </c>
      <c r="E93" s="7">
        <f>190*2</f>
        <v>380</v>
      </c>
      <c r="F93" s="7">
        <f t="shared" si="32"/>
        <v>34336</v>
      </c>
      <c r="G93" s="11" t="s">
        <v>104</v>
      </c>
      <c r="N93" s="3">
        <v>39994</v>
      </c>
      <c r="O93" s="11" t="s">
        <v>109</v>
      </c>
      <c r="P93" s="6"/>
      <c r="Q93" s="15">
        <v>7488</v>
      </c>
      <c r="R93" s="15">
        <f t="shared" si="31"/>
        <v>1187</v>
      </c>
      <c r="S93" s="11" t="s">
        <v>105</v>
      </c>
      <c r="V93" s="3">
        <v>40210</v>
      </c>
      <c r="W93" t="s">
        <v>529</v>
      </c>
      <c r="X93" s="7"/>
      <c r="Y93" s="7">
        <v>1260</v>
      </c>
      <c r="Z93" s="6">
        <f t="shared" si="33"/>
        <v>19427</v>
      </c>
      <c r="AA93" s="11" t="s">
        <v>10</v>
      </c>
      <c r="AB93" s="7">
        <f t="shared" si="30"/>
        <v>693.8214285714286</v>
      </c>
    </row>
    <row r="94" spans="2:28" ht="13.5">
      <c r="B94" s="3">
        <v>40024</v>
      </c>
      <c r="C94" t="s">
        <v>139</v>
      </c>
      <c r="E94" s="7">
        <f>140*2</f>
        <v>280</v>
      </c>
      <c r="F94" s="7">
        <f t="shared" si="32"/>
        <v>34056</v>
      </c>
      <c r="G94" s="11" t="s">
        <v>104</v>
      </c>
      <c r="N94" s="3">
        <v>39995</v>
      </c>
      <c r="O94" t="s">
        <v>29</v>
      </c>
      <c r="P94" s="6">
        <v>43000</v>
      </c>
      <c r="Q94" s="6"/>
      <c r="R94" s="6">
        <f aca="true" t="shared" si="34" ref="R94:R101">+R93+P94-Q94</f>
        <v>44187</v>
      </c>
      <c r="S94" s="11" t="s">
        <v>10</v>
      </c>
      <c r="V94" s="3">
        <v>40210</v>
      </c>
      <c r="W94" t="s">
        <v>530</v>
      </c>
      <c r="X94" s="7"/>
      <c r="Y94" s="7">
        <v>840</v>
      </c>
      <c r="Z94" s="6">
        <f t="shared" si="33"/>
        <v>18587</v>
      </c>
      <c r="AA94" s="11" t="s">
        <v>10</v>
      </c>
      <c r="AB94" s="7">
        <f t="shared" si="30"/>
        <v>663.8214285714286</v>
      </c>
    </row>
    <row r="95" spans="2:28" ht="13.5">
      <c r="B95" s="3">
        <v>40024</v>
      </c>
      <c r="C95" t="s">
        <v>163</v>
      </c>
      <c r="E95" s="7">
        <v>0</v>
      </c>
      <c r="F95" s="7">
        <f t="shared" si="32"/>
        <v>34056</v>
      </c>
      <c r="G95" s="11" t="s">
        <v>10</v>
      </c>
      <c r="M95" s="7"/>
      <c r="N95" s="3">
        <v>39995</v>
      </c>
      <c r="O95" t="s">
        <v>112</v>
      </c>
      <c r="P95" s="15">
        <v>-8700</v>
      </c>
      <c r="Q95" s="6"/>
      <c r="R95" s="6">
        <f t="shared" si="34"/>
        <v>35487</v>
      </c>
      <c r="S95" s="11" t="s">
        <v>102</v>
      </c>
      <c r="V95" s="3">
        <v>40210</v>
      </c>
      <c r="W95" t="s">
        <v>531</v>
      </c>
      <c r="X95" s="7"/>
      <c r="Y95" s="7">
        <v>1136</v>
      </c>
      <c r="Z95" s="6">
        <f t="shared" si="33"/>
        <v>17451</v>
      </c>
      <c r="AA95" s="11" t="s">
        <v>10</v>
      </c>
      <c r="AB95" s="7">
        <f t="shared" si="30"/>
        <v>623.25</v>
      </c>
    </row>
    <row r="96" spans="2:28" ht="13.5">
      <c r="B96" s="3">
        <v>40025</v>
      </c>
      <c r="C96" t="s">
        <v>65</v>
      </c>
      <c r="E96" s="7">
        <v>2380</v>
      </c>
      <c r="F96" s="7">
        <f t="shared" si="32"/>
        <v>31676</v>
      </c>
      <c r="G96" s="11" t="s">
        <v>10</v>
      </c>
      <c r="M96" s="7"/>
      <c r="N96" s="3">
        <v>39995</v>
      </c>
      <c r="O96" s="11" t="s">
        <v>92</v>
      </c>
      <c r="P96" s="15">
        <v>-12510</v>
      </c>
      <c r="Q96" s="6"/>
      <c r="R96" s="6">
        <f t="shared" si="34"/>
        <v>22977</v>
      </c>
      <c r="S96" s="11" t="s">
        <v>102</v>
      </c>
      <c r="V96" s="3">
        <v>40210</v>
      </c>
      <c r="W96" t="s">
        <v>17</v>
      </c>
      <c r="X96" s="7"/>
      <c r="Y96" s="7">
        <v>996</v>
      </c>
      <c r="Z96" s="6">
        <f t="shared" si="33"/>
        <v>16455</v>
      </c>
      <c r="AA96" s="11" t="s">
        <v>10</v>
      </c>
      <c r="AB96" s="7">
        <f t="shared" si="30"/>
        <v>587.6785714285714</v>
      </c>
    </row>
    <row r="97" spans="2:28" ht="13.5">
      <c r="B97" s="3">
        <v>40025</v>
      </c>
      <c r="C97" t="s">
        <v>170</v>
      </c>
      <c r="E97" s="7">
        <v>2000</v>
      </c>
      <c r="F97" s="7">
        <f t="shared" si="32"/>
        <v>29676</v>
      </c>
      <c r="G97" s="11" t="s">
        <v>10</v>
      </c>
      <c r="M97" s="7"/>
      <c r="N97" s="3">
        <v>39995</v>
      </c>
      <c r="O97" t="s">
        <v>113</v>
      </c>
      <c r="P97" s="6"/>
      <c r="Q97" s="6">
        <v>400</v>
      </c>
      <c r="R97" s="6">
        <f t="shared" si="34"/>
        <v>22577</v>
      </c>
      <c r="S97" s="11" t="s">
        <v>10</v>
      </c>
      <c r="V97" s="3">
        <v>40210</v>
      </c>
      <c r="W97" t="s">
        <v>223</v>
      </c>
      <c r="X97" s="7"/>
      <c r="Y97" s="7">
        <v>105</v>
      </c>
      <c r="Z97" s="6">
        <f aca="true" t="shared" si="35" ref="Z97:Z112">+Z96+X97-Y97</f>
        <v>16350</v>
      </c>
      <c r="AA97" s="11" t="s">
        <v>10</v>
      </c>
      <c r="AB97" s="7">
        <f aca="true" t="shared" si="36" ref="AB97:AB112">+Z97/(40238-V97)</f>
        <v>583.9285714285714</v>
      </c>
    </row>
    <row r="98" spans="2:28" ht="13.5">
      <c r="B98" s="3">
        <v>40025</v>
      </c>
      <c r="C98" t="s">
        <v>59</v>
      </c>
      <c r="E98" s="7">
        <v>3000</v>
      </c>
      <c r="F98" s="7">
        <f t="shared" si="32"/>
        <v>26676</v>
      </c>
      <c r="G98" s="11" t="s">
        <v>10</v>
      </c>
      <c r="M98" s="7"/>
      <c r="N98" s="3">
        <v>39995</v>
      </c>
      <c r="O98" t="s">
        <v>114</v>
      </c>
      <c r="P98" s="6"/>
      <c r="Q98" s="6">
        <v>735</v>
      </c>
      <c r="R98" s="6">
        <f t="shared" si="34"/>
        <v>21842</v>
      </c>
      <c r="S98" s="11" t="s">
        <v>10</v>
      </c>
      <c r="V98" s="3">
        <v>40210</v>
      </c>
      <c r="W98" t="s">
        <v>532</v>
      </c>
      <c r="X98" s="7"/>
      <c r="Y98" s="7">
        <f>540*2</f>
        <v>1080</v>
      </c>
      <c r="Z98" s="6">
        <f t="shared" si="35"/>
        <v>15270</v>
      </c>
      <c r="AA98" s="11" t="s">
        <v>10</v>
      </c>
      <c r="AB98" s="7">
        <f t="shared" si="36"/>
        <v>545.3571428571429</v>
      </c>
    </row>
    <row r="99" spans="2:28" ht="13.5">
      <c r="B99" s="3">
        <v>40025</v>
      </c>
      <c r="C99" t="s">
        <v>780</v>
      </c>
      <c r="E99" s="7">
        <v>200</v>
      </c>
      <c r="F99" s="7">
        <f t="shared" si="32"/>
        <v>26476</v>
      </c>
      <c r="G99" s="11" t="s">
        <v>10</v>
      </c>
      <c r="M99" s="7"/>
      <c r="N99" s="3">
        <v>39995</v>
      </c>
      <c r="O99" t="s">
        <v>113</v>
      </c>
      <c r="P99" s="6"/>
      <c r="Q99" s="6">
        <v>300</v>
      </c>
      <c r="R99" s="6">
        <f t="shared" si="34"/>
        <v>21542</v>
      </c>
      <c r="S99" s="11" t="s">
        <v>10</v>
      </c>
      <c r="V99" s="3">
        <v>40210</v>
      </c>
      <c r="W99" t="s">
        <v>126</v>
      </c>
      <c r="X99" s="7"/>
      <c r="Y99" s="7">
        <v>105</v>
      </c>
      <c r="Z99" s="6">
        <f t="shared" si="35"/>
        <v>15165</v>
      </c>
      <c r="AA99" s="11" t="s">
        <v>10</v>
      </c>
      <c r="AB99" s="7">
        <f t="shared" si="36"/>
        <v>541.6071428571429</v>
      </c>
    </row>
    <row r="100" spans="2:28" ht="13.5">
      <c r="B100" s="3">
        <v>40025</v>
      </c>
      <c r="C100" t="s">
        <v>178</v>
      </c>
      <c r="E100" s="7">
        <v>6400</v>
      </c>
      <c r="F100" s="7">
        <f aca="true" t="shared" si="37" ref="F100:F114">+F99+D100-E100</f>
        <v>20076</v>
      </c>
      <c r="G100" s="11" t="s">
        <v>10</v>
      </c>
      <c r="M100" s="7"/>
      <c r="N100" s="3">
        <v>39996</v>
      </c>
      <c r="O100" t="s">
        <v>115</v>
      </c>
      <c r="P100" s="6"/>
      <c r="Q100" s="6">
        <v>1000</v>
      </c>
      <c r="R100" s="6">
        <f t="shared" si="34"/>
        <v>20542</v>
      </c>
      <c r="S100" s="11" t="s">
        <v>10</v>
      </c>
      <c r="V100" s="3">
        <v>40210</v>
      </c>
      <c r="W100" t="s">
        <v>533</v>
      </c>
      <c r="X100" s="7"/>
      <c r="Y100" s="7">
        <v>300</v>
      </c>
      <c r="Z100" s="6">
        <f t="shared" si="35"/>
        <v>14865</v>
      </c>
      <c r="AA100" s="11" t="s">
        <v>10</v>
      </c>
      <c r="AB100" s="7">
        <f t="shared" si="36"/>
        <v>530.8928571428571</v>
      </c>
    </row>
    <row r="101" spans="2:28" ht="13.5">
      <c r="B101" s="3">
        <v>40025</v>
      </c>
      <c r="C101" t="s">
        <v>171</v>
      </c>
      <c r="E101" s="7">
        <v>2700</v>
      </c>
      <c r="F101" s="7">
        <f t="shared" si="37"/>
        <v>17376</v>
      </c>
      <c r="G101" s="11" t="s">
        <v>10</v>
      </c>
      <c r="H101" s="20"/>
      <c r="M101" s="7"/>
      <c r="N101" s="3">
        <v>39997</v>
      </c>
      <c r="O101" s="19" t="s">
        <v>121</v>
      </c>
      <c r="P101" s="6"/>
      <c r="Q101" s="6">
        <v>0</v>
      </c>
      <c r="R101" s="6">
        <f t="shared" si="34"/>
        <v>20542</v>
      </c>
      <c r="S101" s="11" t="s">
        <v>10</v>
      </c>
      <c r="V101" s="3">
        <v>40210</v>
      </c>
      <c r="W101" t="s">
        <v>498</v>
      </c>
      <c r="X101" s="7"/>
      <c r="Y101" s="7">
        <v>1270</v>
      </c>
      <c r="Z101" s="6">
        <f t="shared" si="35"/>
        <v>13595</v>
      </c>
      <c r="AA101" s="11" t="s">
        <v>10</v>
      </c>
      <c r="AB101" s="7">
        <f t="shared" si="36"/>
        <v>485.5357142857143</v>
      </c>
    </row>
    <row r="102" spans="2:28" ht="13.5">
      <c r="B102" s="3">
        <v>40025</v>
      </c>
      <c r="C102" t="s">
        <v>164</v>
      </c>
      <c r="E102" s="7">
        <v>1200</v>
      </c>
      <c r="F102" s="7">
        <f t="shared" si="37"/>
        <v>16176</v>
      </c>
      <c r="G102" s="11" t="s">
        <v>10</v>
      </c>
      <c r="K102" s="3"/>
      <c r="L102" s="3"/>
      <c r="M102" s="7"/>
      <c r="N102" s="3">
        <v>39997</v>
      </c>
      <c r="O102" t="s">
        <v>116</v>
      </c>
      <c r="P102" s="6"/>
      <c r="Q102" s="6">
        <f>140*28</f>
        <v>3920</v>
      </c>
      <c r="R102" s="6">
        <f aca="true" t="shared" si="38" ref="R102:R124">+R101+P102-Q102</f>
        <v>16622</v>
      </c>
      <c r="S102" s="11" t="s">
        <v>10</v>
      </c>
      <c r="V102" s="3">
        <v>40210</v>
      </c>
      <c r="W102" t="s">
        <v>534</v>
      </c>
      <c r="X102" s="7"/>
      <c r="Y102" s="7">
        <v>105</v>
      </c>
      <c r="Z102" s="6">
        <f t="shared" si="35"/>
        <v>13490</v>
      </c>
      <c r="AA102" s="11" t="s">
        <v>10</v>
      </c>
      <c r="AB102" s="7">
        <f t="shared" si="36"/>
        <v>481.7857142857143</v>
      </c>
    </row>
    <row r="103" spans="2:28" ht="13.5">
      <c r="B103" s="3">
        <v>40026</v>
      </c>
      <c r="C103" t="s">
        <v>179</v>
      </c>
      <c r="E103" s="7">
        <v>5775</v>
      </c>
      <c r="F103" s="7">
        <f t="shared" si="37"/>
        <v>10401</v>
      </c>
      <c r="G103" s="11" t="s">
        <v>10</v>
      </c>
      <c r="K103" s="3"/>
      <c r="L103" s="3"/>
      <c r="M103" s="7"/>
      <c r="N103" s="3">
        <v>39997</v>
      </c>
      <c r="O103" t="s">
        <v>405</v>
      </c>
      <c r="P103" s="6"/>
      <c r="Q103" s="6">
        <f>302</f>
        <v>302</v>
      </c>
      <c r="R103" s="6">
        <f t="shared" si="38"/>
        <v>16320</v>
      </c>
      <c r="S103" s="11" t="s">
        <v>10</v>
      </c>
      <c r="V103" s="3">
        <v>40214</v>
      </c>
      <c r="W103" t="s">
        <v>537</v>
      </c>
      <c r="X103" s="6"/>
      <c r="Y103" s="6">
        <v>300</v>
      </c>
      <c r="Z103" s="6">
        <f t="shared" si="35"/>
        <v>13190</v>
      </c>
      <c r="AA103" s="11" t="s">
        <v>10</v>
      </c>
      <c r="AB103" s="7">
        <f t="shared" si="36"/>
        <v>549.5833333333334</v>
      </c>
    </row>
    <row r="104" spans="2:28" ht="13.5">
      <c r="B104" s="3">
        <v>40026</v>
      </c>
      <c r="C104" t="s">
        <v>88</v>
      </c>
      <c r="E104" s="7">
        <v>3000</v>
      </c>
      <c r="F104" s="7">
        <f t="shared" si="37"/>
        <v>7401</v>
      </c>
      <c r="G104" s="11" t="s">
        <v>10</v>
      </c>
      <c r="K104" s="3"/>
      <c r="L104" s="3"/>
      <c r="M104" s="7"/>
      <c r="N104" s="3">
        <v>39997</v>
      </c>
      <c r="O104" t="s">
        <v>117</v>
      </c>
      <c r="P104" s="6"/>
      <c r="Q104" s="6">
        <v>690</v>
      </c>
      <c r="R104" s="6">
        <f t="shared" si="38"/>
        <v>15630</v>
      </c>
      <c r="S104" s="11" t="s">
        <v>10</v>
      </c>
      <c r="V104" s="3">
        <v>40214</v>
      </c>
      <c r="W104" t="s">
        <v>538</v>
      </c>
      <c r="X104" s="7"/>
      <c r="Y104" s="7">
        <f>140*25</f>
        <v>3500</v>
      </c>
      <c r="Z104" s="6">
        <f t="shared" si="35"/>
        <v>9690</v>
      </c>
      <c r="AA104" s="11" t="s">
        <v>10</v>
      </c>
      <c r="AB104" s="7">
        <f t="shared" si="36"/>
        <v>403.75</v>
      </c>
    </row>
    <row r="105" spans="2:28" ht="13.5">
      <c r="B105" s="3">
        <v>40026</v>
      </c>
      <c r="C105" t="s">
        <v>172</v>
      </c>
      <c r="E105" s="7"/>
      <c r="F105" s="7">
        <f t="shared" si="37"/>
        <v>7401</v>
      </c>
      <c r="G105" s="11" t="s">
        <v>10</v>
      </c>
      <c r="K105" s="3"/>
      <c r="L105" s="3"/>
      <c r="N105" s="3">
        <v>39997</v>
      </c>
      <c r="O105" t="s">
        <v>45</v>
      </c>
      <c r="P105" s="6"/>
      <c r="Q105" s="6">
        <v>1956</v>
      </c>
      <c r="R105" s="6">
        <f t="shared" si="38"/>
        <v>13674</v>
      </c>
      <c r="S105" s="11" t="s">
        <v>10</v>
      </c>
      <c r="V105" s="3">
        <v>40214</v>
      </c>
      <c r="W105" t="s">
        <v>49</v>
      </c>
      <c r="X105" s="7"/>
      <c r="Y105" s="7">
        <v>315</v>
      </c>
      <c r="Z105" s="6">
        <f t="shared" si="35"/>
        <v>9375</v>
      </c>
      <c r="AA105" s="11" t="s">
        <v>10</v>
      </c>
      <c r="AB105" s="7">
        <f t="shared" si="36"/>
        <v>390.625</v>
      </c>
    </row>
    <row r="106" spans="2:28" ht="13.5">
      <c r="B106" s="3">
        <v>40026</v>
      </c>
      <c r="D106" s="7">
        <v>9000</v>
      </c>
      <c r="E106" s="7"/>
      <c r="F106" s="7">
        <f t="shared" si="37"/>
        <v>16401</v>
      </c>
      <c r="G106" s="11" t="s">
        <v>10</v>
      </c>
      <c r="H106" s="20"/>
      <c r="K106" s="3"/>
      <c r="L106" s="3"/>
      <c r="M106" s="7"/>
      <c r="N106" s="3">
        <v>39997</v>
      </c>
      <c r="O106" t="s">
        <v>118</v>
      </c>
      <c r="P106" s="6"/>
      <c r="Q106" s="6">
        <f>105*4</f>
        <v>420</v>
      </c>
      <c r="R106" s="6">
        <f t="shared" si="38"/>
        <v>13254</v>
      </c>
      <c r="S106" s="11" t="s">
        <v>10</v>
      </c>
      <c r="V106" s="3">
        <v>40214</v>
      </c>
      <c r="W106" t="s">
        <v>369</v>
      </c>
      <c r="X106" s="7"/>
      <c r="Y106" s="7">
        <f>498*2</f>
        <v>996</v>
      </c>
      <c r="Z106" s="6">
        <f t="shared" si="35"/>
        <v>8379</v>
      </c>
      <c r="AA106" s="11" t="s">
        <v>10</v>
      </c>
      <c r="AB106" s="7">
        <f t="shared" si="36"/>
        <v>349.125</v>
      </c>
    </row>
    <row r="107" spans="2:28" ht="13.5">
      <c r="B107" s="3">
        <v>40027</v>
      </c>
      <c r="C107" t="s">
        <v>154</v>
      </c>
      <c r="E107" s="7">
        <v>1000</v>
      </c>
      <c r="F107" s="7">
        <f t="shared" si="37"/>
        <v>15401</v>
      </c>
      <c r="G107" s="11" t="s">
        <v>10</v>
      </c>
      <c r="K107" s="3"/>
      <c r="L107" s="3"/>
      <c r="N107" s="3">
        <v>39997</v>
      </c>
      <c r="O107" t="s">
        <v>119</v>
      </c>
      <c r="P107" s="6"/>
      <c r="Q107" s="6">
        <v>1456</v>
      </c>
      <c r="R107" s="6">
        <f t="shared" si="38"/>
        <v>11798</v>
      </c>
      <c r="S107" s="11" t="s">
        <v>10</v>
      </c>
      <c r="V107" s="3">
        <v>40214</v>
      </c>
      <c r="W107" t="s">
        <v>490</v>
      </c>
      <c r="X107" s="7"/>
      <c r="Y107" s="7">
        <v>4</v>
      </c>
      <c r="Z107" s="6">
        <f t="shared" si="35"/>
        <v>8375</v>
      </c>
      <c r="AA107" s="11" t="s">
        <v>10</v>
      </c>
      <c r="AB107" s="7">
        <f t="shared" si="36"/>
        <v>348.9583333333333</v>
      </c>
    </row>
    <row r="108" spans="2:28" ht="13.5">
      <c r="B108" s="3">
        <v>40027</v>
      </c>
      <c r="C108" t="s">
        <v>173</v>
      </c>
      <c r="E108" s="7">
        <v>360</v>
      </c>
      <c r="F108" s="7">
        <f t="shared" si="37"/>
        <v>15041</v>
      </c>
      <c r="G108" s="11" t="s">
        <v>10</v>
      </c>
      <c r="K108" s="3"/>
      <c r="L108" s="3"/>
      <c r="N108" s="3">
        <v>39997</v>
      </c>
      <c r="O108" t="s">
        <v>120</v>
      </c>
      <c r="P108" s="6"/>
      <c r="Q108" s="6">
        <v>960</v>
      </c>
      <c r="R108" s="6">
        <f t="shared" si="38"/>
        <v>10838</v>
      </c>
      <c r="S108" s="11" t="s">
        <v>10</v>
      </c>
      <c r="V108" s="3">
        <v>40214</v>
      </c>
      <c r="W108" t="s">
        <v>539</v>
      </c>
      <c r="X108" s="7"/>
      <c r="Y108" s="7">
        <v>196</v>
      </c>
      <c r="Z108" s="6">
        <f t="shared" si="35"/>
        <v>8179</v>
      </c>
      <c r="AA108" s="11" t="s">
        <v>10</v>
      </c>
      <c r="AB108" s="7">
        <f t="shared" si="36"/>
        <v>340.7916666666667</v>
      </c>
    </row>
    <row r="109" spans="2:28" ht="13.5">
      <c r="B109" s="3">
        <v>40027</v>
      </c>
      <c r="C109" t="s">
        <v>51</v>
      </c>
      <c r="E109" s="7">
        <v>1200</v>
      </c>
      <c r="F109" s="7">
        <f t="shared" si="37"/>
        <v>13841</v>
      </c>
      <c r="G109" s="11" t="s">
        <v>10</v>
      </c>
      <c r="H109" s="20"/>
      <c r="K109" s="3"/>
      <c r="L109" s="3"/>
      <c r="N109" s="3">
        <v>39997</v>
      </c>
      <c r="O109" t="s">
        <v>42</v>
      </c>
      <c r="P109" s="6"/>
      <c r="Q109" s="6">
        <v>433</v>
      </c>
      <c r="R109" s="6">
        <f t="shared" si="38"/>
        <v>10405</v>
      </c>
      <c r="S109" s="11" t="s">
        <v>10</v>
      </c>
      <c r="V109" s="3">
        <v>40214</v>
      </c>
      <c r="W109" t="s">
        <v>540</v>
      </c>
      <c r="X109" s="7"/>
      <c r="Y109" s="7">
        <v>300</v>
      </c>
      <c r="Z109" s="6">
        <f t="shared" si="35"/>
        <v>7879</v>
      </c>
      <c r="AA109" s="11" t="s">
        <v>10</v>
      </c>
      <c r="AB109" s="7">
        <f t="shared" si="36"/>
        <v>328.2916666666667</v>
      </c>
    </row>
    <row r="110" spans="2:28" ht="13.5">
      <c r="B110" s="3">
        <v>40027</v>
      </c>
      <c r="C110" t="s">
        <v>174</v>
      </c>
      <c r="E110" s="7">
        <v>1786</v>
      </c>
      <c r="F110" s="7">
        <f t="shared" si="37"/>
        <v>12055</v>
      </c>
      <c r="G110" s="11" t="s">
        <v>10</v>
      </c>
      <c r="K110" s="3"/>
      <c r="L110" s="3"/>
      <c r="M110" s="7"/>
      <c r="N110" s="3">
        <v>40000</v>
      </c>
      <c r="O110" t="s">
        <v>125</v>
      </c>
      <c r="P110" s="6"/>
      <c r="Q110" s="6">
        <v>195</v>
      </c>
      <c r="R110" s="6">
        <f t="shared" si="38"/>
        <v>10210</v>
      </c>
      <c r="S110" s="11" t="s">
        <v>10</v>
      </c>
      <c r="V110" s="3">
        <v>40214</v>
      </c>
      <c r="W110" t="s">
        <v>535</v>
      </c>
      <c r="X110" s="7"/>
      <c r="Y110" s="7">
        <v>1840</v>
      </c>
      <c r="Z110" s="6">
        <f t="shared" si="35"/>
        <v>6039</v>
      </c>
      <c r="AA110" s="11" t="s">
        <v>10</v>
      </c>
      <c r="AB110" s="7">
        <f t="shared" si="36"/>
        <v>251.625</v>
      </c>
    </row>
    <row r="111" spans="2:28" ht="13.5">
      <c r="B111" s="3">
        <v>40026</v>
      </c>
      <c r="E111" s="7"/>
      <c r="F111" s="7">
        <f t="shared" si="37"/>
        <v>12055</v>
      </c>
      <c r="G111" s="11" t="s">
        <v>10</v>
      </c>
      <c r="K111" s="3"/>
      <c r="L111" s="3"/>
      <c r="N111" s="3">
        <v>40000</v>
      </c>
      <c r="O111" t="s">
        <v>17</v>
      </c>
      <c r="P111" s="6"/>
      <c r="Q111" s="6">
        <v>996</v>
      </c>
      <c r="R111" s="6">
        <f t="shared" si="38"/>
        <v>9214</v>
      </c>
      <c r="S111" s="11" t="s">
        <v>10</v>
      </c>
      <c r="V111" s="3">
        <v>40214</v>
      </c>
      <c r="W111" t="s">
        <v>59</v>
      </c>
      <c r="X111" s="7"/>
      <c r="Y111" s="7">
        <v>500</v>
      </c>
      <c r="Z111" s="6">
        <f t="shared" si="35"/>
        <v>5539</v>
      </c>
      <c r="AA111" s="11" t="s">
        <v>10</v>
      </c>
      <c r="AB111" s="7">
        <f t="shared" si="36"/>
        <v>230.79166666666666</v>
      </c>
    </row>
    <row r="112" spans="2:28" ht="13.5">
      <c r="B112" s="3">
        <v>40026</v>
      </c>
      <c r="C112" t="s">
        <v>175</v>
      </c>
      <c r="E112" s="7">
        <v>12055</v>
      </c>
      <c r="F112" s="7">
        <f t="shared" si="37"/>
        <v>0</v>
      </c>
      <c r="G112" s="11"/>
      <c r="N112" s="3">
        <v>40000</v>
      </c>
      <c r="O112" t="s">
        <v>122</v>
      </c>
      <c r="P112" s="6"/>
      <c r="Q112" s="6">
        <v>105</v>
      </c>
      <c r="R112" s="6">
        <f t="shared" si="38"/>
        <v>9109</v>
      </c>
      <c r="S112" s="11" t="s">
        <v>10</v>
      </c>
      <c r="V112" s="3">
        <v>40214</v>
      </c>
      <c r="W112" t="s">
        <v>42</v>
      </c>
      <c r="X112" s="7"/>
      <c r="Y112" s="7">
        <v>2300</v>
      </c>
      <c r="Z112" s="6">
        <f t="shared" si="35"/>
        <v>3239</v>
      </c>
      <c r="AA112" s="11" t="s">
        <v>10</v>
      </c>
      <c r="AB112" s="7">
        <f t="shared" si="36"/>
        <v>134.95833333333334</v>
      </c>
    </row>
    <row r="113" spans="2:28" ht="13.5">
      <c r="B113" s="3">
        <v>40026</v>
      </c>
      <c r="E113" s="7"/>
      <c r="F113" s="7">
        <f t="shared" si="37"/>
        <v>0</v>
      </c>
      <c r="G113" s="11"/>
      <c r="K113" s="3"/>
      <c r="L113" s="3"/>
      <c r="N113" s="3">
        <v>40000</v>
      </c>
      <c r="O113" t="s">
        <v>123</v>
      </c>
      <c r="P113" s="6"/>
      <c r="Q113" s="6">
        <v>105</v>
      </c>
      <c r="R113" s="6">
        <f t="shared" si="38"/>
        <v>9004</v>
      </c>
      <c r="S113" s="11" t="s">
        <v>10</v>
      </c>
      <c r="V113" s="3">
        <v>40217</v>
      </c>
      <c r="W113" t="s">
        <v>17</v>
      </c>
      <c r="X113" s="6"/>
      <c r="Y113" s="6">
        <v>996</v>
      </c>
      <c r="Z113" s="6">
        <f aca="true" t="shared" si="39" ref="Z113:Z118">+Z112+X113-Y113</f>
        <v>2243</v>
      </c>
      <c r="AA113" s="11" t="s">
        <v>10</v>
      </c>
      <c r="AB113" s="7">
        <f aca="true" t="shared" si="40" ref="AB113:AB156">+Z113/(40238-V113)</f>
        <v>106.80952380952381</v>
      </c>
    </row>
    <row r="114" spans="2:28" ht="13.5">
      <c r="B114" s="3">
        <v>40026</v>
      </c>
      <c r="E114" s="7"/>
      <c r="F114" s="7">
        <f t="shared" si="37"/>
        <v>0</v>
      </c>
      <c r="G114" s="11"/>
      <c r="N114" s="3">
        <v>40000</v>
      </c>
      <c r="O114" t="s">
        <v>124</v>
      </c>
      <c r="P114" s="6"/>
      <c r="Q114" s="6">
        <f>105*2</f>
        <v>210</v>
      </c>
      <c r="R114" s="6">
        <f t="shared" si="38"/>
        <v>8794</v>
      </c>
      <c r="S114" s="11" t="s">
        <v>10</v>
      </c>
      <c r="V114" s="3">
        <v>40217</v>
      </c>
      <c r="W114" t="s">
        <v>330</v>
      </c>
      <c r="X114" s="6"/>
      <c r="Y114" s="6">
        <v>220</v>
      </c>
      <c r="Z114" s="6">
        <f t="shared" si="39"/>
        <v>2023</v>
      </c>
      <c r="AA114" s="11" t="s">
        <v>10</v>
      </c>
      <c r="AB114" s="7">
        <f t="shared" si="40"/>
        <v>96.33333333333333</v>
      </c>
    </row>
    <row r="115" spans="2:28" ht="13.5">
      <c r="B115" s="3">
        <v>40028</v>
      </c>
      <c r="C115" t="s">
        <v>188</v>
      </c>
      <c r="D115" s="7">
        <f>+SUM(D79:D114)</f>
        <v>59999</v>
      </c>
      <c r="E115" s="7">
        <f>+SUM(E79:E113)</f>
        <v>59999</v>
      </c>
      <c r="F115" s="7">
        <f>+D115-E115</f>
        <v>0</v>
      </c>
      <c r="N115" s="3">
        <v>40000</v>
      </c>
      <c r="O115" t="s">
        <v>101</v>
      </c>
      <c r="P115" s="6"/>
      <c r="Q115" s="6">
        <v>120</v>
      </c>
      <c r="R115" s="6">
        <f t="shared" si="38"/>
        <v>8674</v>
      </c>
      <c r="S115" s="11" t="s">
        <v>10</v>
      </c>
      <c r="V115" s="3">
        <v>40217</v>
      </c>
      <c r="W115" t="s">
        <v>542</v>
      </c>
      <c r="X115" s="6"/>
      <c r="Y115" s="6">
        <v>169</v>
      </c>
      <c r="Z115" s="6">
        <f t="shared" si="39"/>
        <v>1854</v>
      </c>
      <c r="AA115" s="11" t="s">
        <v>10</v>
      </c>
      <c r="AB115" s="7">
        <f t="shared" si="40"/>
        <v>88.28571428571429</v>
      </c>
    </row>
    <row r="116" spans="6:28" ht="13.5">
      <c r="F116" s="7"/>
      <c r="N116" s="3">
        <v>40002</v>
      </c>
      <c r="O116" t="s">
        <v>126</v>
      </c>
      <c r="P116" s="6"/>
      <c r="Q116" s="6">
        <v>105</v>
      </c>
      <c r="R116" s="6">
        <f t="shared" si="38"/>
        <v>8569</v>
      </c>
      <c r="S116" s="11" t="s">
        <v>10</v>
      </c>
      <c r="V116" s="3">
        <v>40217</v>
      </c>
      <c r="W116" t="s">
        <v>235</v>
      </c>
      <c r="X116" s="6"/>
      <c r="Y116" s="6">
        <v>209</v>
      </c>
      <c r="Z116" s="6">
        <f t="shared" si="39"/>
        <v>1645</v>
      </c>
      <c r="AA116" s="11" t="s">
        <v>10</v>
      </c>
      <c r="AB116" s="7">
        <f t="shared" si="40"/>
        <v>78.33333333333333</v>
      </c>
    </row>
    <row r="117" spans="6:28" ht="13.5">
      <c r="F117" s="7"/>
      <c r="N117" s="3">
        <v>40002</v>
      </c>
      <c r="O117" t="s">
        <v>127</v>
      </c>
      <c r="P117" s="6"/>
      <c r="Q117" s="6">
        <v>105</v>
      </c>
      <c r="R117" s="6">
        <f t="shared" si="38"/>
        <v>8464</v>
      </c>
      <c r="S117" s="11" t="s">
        <v>10</v>
      </c>
      <c r="V117" s="3">
        <v>40217</v>
      </c>
      <c r="W117" t="s">
        <v>391</v>
      </c>
      <c r="X117" s="6"/>
      <c r="Y117" s="6">
        <v>105</v>
      </c>
      <c r="Z117" s="6">
        <f t="shared" si="39"/>
        <v>1540</v>
      </c>
      <c r="AA117" s="11" t="s">
        <v>10</v>
      </c>
      <c r="AB117" s="7">
        <f t="shared" si="40"/>
        <v>73.33333333333333</v>
      </c>
    </row>
    <row r="118" spans="14:28" ht="13.5">
      <c r="N118" s="3">
        <v>40002</v>
      </c>
      <c r="O118" t="s">
        <v>130</v>
      </c>
      <c r="P118" s="6"/>
      <c r="Q118" s="6">
        <v>80</v>
      </c>
      <c r="R118" s="6">
        <f t="shared" si="38"/>
        <v>8384</v>
      </c>
      <c r="S118" s="11" t="s">
        <v>10</v>
      </c>
      <c r="V118" s="3">
        <v>40217</v>
      </c>
      <c r="W118" t="s">
        <v>126</v>
      </c>
      <c r="X118" s="6"/>
      <c r="Y118" s="6">
        <v>105</v>
      </c>
      <c r="Z118" s="6">
        <f t="shared" si="39"/>
        <v>1435</v>
      </c>
      <c r="AA118" s="11" t="s">
        <v>10</v>
      </c>
      <c r="AB118" s="7">
        <f t="shared" si="40"/>
        <v>68.33333333333333</v>
      </c>
    </row>
    <row r="119" spans="6:28" ht="13.5">
      <c r="F119" s="7">
        <f aca="true" t="shared" si="41" ref="F119:F160">+F118+D119-E119</f>
        <v>0</v>
      </c>
      <c r="N119" s="3">
        <v>40002</v>
      </c>
      <c r="O119" t="s">
        <v>131</v>
      </c>
      <c r="P119" s="6"/>
      <c r="Q119" s="6">
        <v>105</v>
      </c>
      <c r="R119" s="6">
        <f t="shared" si="38"/>
        <v>8279</v>
      </c>
      <c r="S119" s="11" t="s">
        <v>10</v>
      </c>
      <c r="V119" s="3">
        <v>40217</v>
      </c>
      <c r="W119" t="s">
        <v>129</v>
      </c>
      <c r="X119" s="6"/>
      <c r="Y119" s="6">
        <v>198</v>
      </c>
      <c r="Z119" s="6">
        <f aca="true" t="shared" si="42" ref="Z119:Z156">+Z118+X119-Y119</f>
        <v>1237</v>
      </c>
      <c r="AA119" s="11" t="s">
        <v>10</v>
      </c>
      <c r="AB119" s="7">
        <f t="shared" si="40"/>
        <v>58.904761904761905</v>
      </c>
    </row>
    <row r="120" spans="6:28" ht="13.5">
      <c r="F120" s="7">
        <f t="shared" si="41"/>
        <v>0</v>
      </c>
      <c r="N120" s="3">
        <v>40004</v>
      </c>
      <c r="O120" t="s">
        <v>17</v>
      </c>
      <c r="P120" s="6"/>
      <c r="Q120" s="6">
        <v>996</v>
      </c>
      <c r="R120" s="6">
        <f t="shared" si="38"/>
        <v>7283</v>
      </c>
      <c r="S120" s="11" t="s">
        <v>10</v>
      </c>
      <c r="V120" s="3">
        <v>40217</v>
      </c>
      <c r="W120" t="s">
        <v>541</v>
      </c>
      <c r="X120" s="7"/>
      <c r="Y120" s="7">
        <v>105</v>
      </c>
      <c r="Z120" s="6">
        <f t="shared" si="42"/>
        <v>1132</v>
      </c>
      <c r="AA120" s="11" t="s">
        <v>10</v>
      </c>
      <c r="AB120" s="7">
        <f t="shared" si="40"/>
        <v>53.904761904761905</v>
      </c>
    </row>
    <row r="121" spans="6:28" ht="13.5">
      <c r="F121" s="7">
        <f t="shared" si="41"/>
        <v>0</v>
      </c>
      <c r="N121" s="3">
        <v>40004</v>
      </c>
      <c r="O121" t="s">
        <v>128</v>
      </c>
      <c r="P121" s="6"/>
      <c r="Q121" s="6">
        <v>105</v>
      </c>
      <c r="R121" s="6">
        <f t="shared" si="38"/>
        <v>7178</v>
      </c>
      <c r="S121" s="11" t="s">
        <v>10</v>
      </c>
      <c r="V121" s="3">
        <v>40217</v>
      </c>
      <c r="W121" t="s">
        <v>50</v>
      </c>
      <c r="X121" s="7"/>
      <c r="Y121" s="7">
        <f>-360+3-63-1+23-10-1</f>
        <v>-409</v>
      </c>
      <c r="Z121" s="6">
        <f t="shared" si="42"/>
        <v>1541</v>
      </c>
      <c r="AA121" s="11" t="s">
        <v>10</v>
      </c>
      <c r="AB121" s="7">
        <f t="shared" si="40"/>
        <v>73.38095238095238</v>
      </c>
    </row>
    <row r="122" spans="6:28" ht="13.5">
      <c r="F122" s="7">
        <f t="shared" si="41"/>
        <v>0</v>
      </c>
      <c r="N122" s="3">
        <v>40004</v>
      </c>
      <c r="O122" t="s">
        <v>129</v>
      </c>
      <c r="P122" s="6"/>
      <c r="Q122" s="6">
        <v>198</v>
      </c>
      <c r="R122" s="6">
        <f t="shared" si="38"/>
        <v>6980</v>
      </c>
      <c r="S122" s="11" t="s">
        <v>10</v>
      </c>
      <c r="V122" s="3">
        <v>40219</v>
      </c>
      <c r="W122" t="s">
        <v>193</v>
      </c>
      <c r="X122" s="7"/>
      <c r="Y122" s="7">
        <v>197</v>
      </c>
      <c r="Z122" s="6">
        <f t="shared" si="42"/>
        <v>1344</v>
      </c>
      <c r="AA122" s="11" t="s">
        <v>10</v>
      </c>
      <c r="AB122" s="7">
        <f t="shared" si="40"/>
        <v>70.73684210526316</v>
      </c>
    </row>
    <row r="123" spans="6:28" ht="13.5">
      <c r="F123" s="7">
        <f t="shared" si="41"/>
        <v>0</v>
      </c>
      <c r="N123" s="3">
        <v>40004</v>
      </c>
      <c r="O123" t="s">
        <v>123</v>
      </c>
      <c r="P123" s="6"/>
      <c r="Q123" s="6">
        <v>105</v>
      </c>
      <c r="R123" s="6">
        <f t="shared" si="38"/>
        <v>6875</v>
      </c>
      <c r="S123" s="11" t="s">
        <v>10</v>
      </c>
      <c r="V123" s="3">
        <v>40219</v>
      </c>
      <c r="W123" t="s">
        <v>544</v>
      </c>
      <c r="X123" s="7"/>
      <c r="Y123" s="7">
        <v>135</v>
      </c>
      <c r="Z123" s="6">
        <f t="shared" si="42"/>
        <v>1209</v>
      </c>
      <c r="AA123" s="11" t="s">
        <v>10</v>
      </c>
      <c r="AB123" s="7">
        <f t="shared" si="40"/>
        <v>63.63157894736842</v>
      </c>
    </row>
    <row r="124" spans="6:28" ht="13.5">
      <c r="F124" s="7">
        <f t="shared" si="41"/>
        <v>0</v>
      </c>
      <c r="N124" s="3">
        <v>40004</v>
      </c>
      <c r="O124" t="s">
        <v>89</v>
      </c>
      <c r="P124" s="6"/>
      <c r="Q124" s="6">
        <v>105</v>
      </c>
      <c r="R124" s="6">
        <f t="shared" si="38"/>
        <v>6770</v>
      </c>
      <c r="S124" s="11" t="s">
        <v>137</v>
      </c>
      <c r="V124" s="3">
        <v>40221</v>
      </c>
      <c r="W124" t="s">
        <v>17</v>
      </c>
      <c r="X124" s="6"/>
      <c r="Y124" s="7">
        <v>996</v>
      </c>
      <c r="Z124" s="6">
        <f t="shared" si="42"/>
        <v>213</v>
      </c>
      <c r="AA124" s="11" t="s">
        <v>10</v>
      </c>
      <c r="AB124" s="7">
        <f t="shared" si="40"/>
        <v>12.529411764705882</v>
      </c>
    </row>
    <row r="125" spans="6:28" ht="13.5">
      <c r="F125" s="7">
        <f t="shared" si="41"/>
        <v>0</v>
      </c>
      <c r="N125" s="3">
        <v>40007</v>
      </c>
      <c r="O125" t="s">
        <v>101</v>
      </c>
      <c r="P125" s="6"/>
      <c r="Q125" s="6">
        <v>120</v>
      </c>
      <c r="R125" s="6">
        <f aca="true" t="shared" si="43" ref="R125:R132">+R124+P125-Q125</f>
        <v>6650</v>
      </c>
      <c r="S125" s="11" t="s">
        <v>136</v>
      </c>
      <c r="V125" s="3">
        <v>40221</v>
      </c>
      <c r="W125" t="s">
        <v>370</v>
      </c>
      <c r="X125" s="6"/>
      <c r="Y125" s="6">
        <v>139</v>
      </c>
      <c r="Z125" s="6">
        <f t="shared" si="42"/>
        <v>74</v>
      </c>
      <c r="AA125" s="11" t="s">
        <v>10</v>
      </c>
      <c r="AB125" s="7">
        <f t="shared" si="40"/>
        <v>4.352941176470588</v>
      </c>
    </row>
    <row r="126" spans="6:28" ht="13.5">
      <c r="F126" s="7">
        <f t="shared" si="41"/>
        <v>0</v>
      </c>
      <c r="N126" s="3">
        <v>40007</v>
      </c>
      <c r="O126" t="s">
        <v>17</v>
      </c>
      <c r="P126" s="6"/>
      <c r="Q126" s="6">
        <v>996</v>
      </c>
      <c r="R126" s="6">
        <f t="shared" si="43"/>
        <v>5654</v>
      </c>
      <c r="S126" s="11" t="s">
        <v>136</v>
      </c>
      <c r="V126" s="3">
        <v>40224</v>
      </c>
      <c r="W126" s="11" t="s">
        <v>21</v>
      </c>
      <c r="X126" s="15">
        <v>132000</v>
      </c>
      <c r="Y126" s="7"/>
      <c r="Z126" s="6">
        <f t="shared" si="42"/>
        <v>132074</v>
      </c>
      <c r="AA126" s="11" t="s">
        <v>10</v>
      </c>
      <c r="AB126" s="7">
        <f t="shared" si="40"/>
        <v>9433.857142857143</v>
      </c>
    </row>
    <row r="127" spans="6:28" ht="13.5">
      <c r="F127" s="7">
        <f t="shared" si="41"/>
        <v>0</v>
      </c>
      <c r="N127" s="3">
        <v>40007</v>
      </c>
      <c r="O127" t="s">
        <v>124</v>
      </c>
      <c r="P127" s="6"/>
      <c r="Q127" s="6">
        <f>105*2</f>
        <v>210</v>
      </c>
      <c r="R127" s="6">
        <f t="shared" si="43"/>
        <v>5444</v>
      </c>
      <c r="S127" s="11" t="s">
        <v>136</v>
      </c>
      <c r="V127" s="3">
        <v>40224</v>
      </c>
      <c r="W127" t="s">
        <v>545</v>
      </c>
      <c r="X127" s="6"/>
      <c r="Y127" s="6">
        <v>105</v>
      </c>
      <c r="Z127" s="6">
        <f t="shared" si="42"/>
        <v>131969</v>
      </c>
      <c r="AA127" s="11" t="s">
        <v>10</v>
      </c>
      <c r="AB127" s="7">
        <f t="shared" si="40"/>
        <v>9426.357142857143</v>
      </c>
    </row>
    <row r="128" spans="6:28" ht="13.5">
      <c r="F128" s="7">
        <f t="shared" si="41"/>
        <v>0</v>
      </c>
      <c r="N128" s="3">
        <v>40007</v>
      </c>
      <c r="O128" t="s">
        <v>128</v>
      </c>
      <c r="P128" s="6"/>
      <c r="Q128" s="6">
        <v>105</v>
      </c>
      <c r="R128" s="6">
        <f t="shared" si="43"/>
        <v>5339</v>
      </c>
      <c r="S128" s="11" t="s">
        <v>136</v>
      </c>
      <c r="V128" s="3">
        <v>40224</v>
      </c>
      <c r="W128" t="s">
        <v>193</v>
      </c>
      <c r="X128" s="6"/>
      <c r="Y128" s="6">
        <v>105</v>
      </c>
      <c r="Z128" s="6">
        <f t="shared" si="42"/>
        <v>131864</v>
      </c>
      <c r="AA128" s="11" t="s">
        <v>10</v>
      </c>
      <c r="AB128" s="7">
        <f t="shared" si="40"/>
        <v>9418.857142857143</v>
      </c>
    </row>
    <row r="129" spans="6:28" ht="13.5">
      <c r="F129" s="7">
        <f t="shared" si="41"/>
        <v>0</v>
      </c>
      <c r="N129" s="3">
        <v>40007</v>
      </c>
      <c r="O129" t="s">
        <v>39</v>
      </c>
      <c r="P129" s="6"/>
      <c r="Q129" s="6">
        <v>195</v>
      </c>
      <c r="R129" s="6">
        <f t="shared" si="43"/>
        <v>5144</v>
      </c>
      <c r="S129" s="11" t="s">
        <v>136</v>
      </c>
      <c r="V129" s="3">
        <v>40224</v>
      </c>
      <c r="W129" t="s">
        <v>546</v>
      </c>
      <c r="X129" s="7"/>
      <c r="Y129" s="6">
        <v>105</v>
      </c>
      <c r="Z129" s="6">
        <f t="shared" si="42"/>
        <v>131759</v>
      </c>
      <c r="AA129" s="11" t="s">
        <v>10</v>
      </c>
      <c r="AB129" s="7">
        <f t="shared" si="40"/>
        <v>9411.357142857143</v>
      </c>
    </row>
    <row r="130" spans="6:28" ht="13.5">
      <c r="F130" s="7">
        <f t="shared" si="41"/>
        <v>0</v>
      </c>
      <c r="N130" s="3">
        <v>40009</v>
      </c>
      <c r="O130" t="s">
        <v>101</v>
      </c>
      <c r="P130" s="6"/>
      <c r="Q130" s="6">
        <v>120</v>
      </c>
      <c r="R130" s="6">
        <f t="shared" si="43"/>
        <v>5024</v>
      </c>
      <c r="S130" s="11" t="s">
        <v>136</v>
      </c>
      <c r="V130" s="3">
        <v>40224</v>
      </c>
      <c r="W130" t="s">
        <v>547</v>
      </c>
      <c r="X130" s="7"/>
      <c r="Y130" s="6">
        <v>105</v>
      </c>
      <c r="Z130" s="6">
        <f t="shared" si="42"/>
        <v>131654</v>
      </c>
      <c r="AA130" s="11" t="s">
        <v>10</v>
      </c>
      <c r="AB130" s="7">
        <f t="shared" si="40"/>
        <v>9403.857142857143</v>
      </c>
    </row>
    <row r="131" spans="6:28" ht="13.5">
      <c r="F131" s="7">
        <f t="shared" si="41"/>
        <v>0</v>
      </c>
      <c r="N131" s="3">
        <v>40009</v>
      </c>
      <c r="O131" t="s">
        <v>126</v>
      </c>
      <c r="P131" s="6"/>
      <c r="Q131" s="6">
        <v>105</v>
      </c>
      <c r="R131" s="6">
        <f t="shared" si="43"/>
        <v>4919</v>
      </c>
      <c r="S131" s="11" t="s">
        <v>136</v>
      </c>
      <c r="V131" s="3">
        <v>40224</v>
      </c>
      <c r="W131" t="s">
        <v>548</v>
      </c>
      <c r="X131" s="7"/>
      <c r="Y131" s="6">
        <v>105</v>
      </c>
      <c r="Z131" s="6">
        <f t="shared" si="42"/>
        <v>131549</v>
      </c>
      <c r="AA131" s="11" t="s">
        <v>10</v>
      </c>
      <c r="AB131" s="7">
        <f t="shared" si="40"/>
        <v>9396.357142857143</v>
      </c>
    </row>
    <row r="132" spans="6:28" ht="13.5">
      <c r="F132" s="7">
        <f t="shared" si="41"/>
        <v>0</v>
      </c>
      <c r="N132" s="3">
        <v>40009</v>
      </c>
      <c r="O132" t="s">
        <v>39</v>
      </c>
      <c r="P132" s="6"/>
      <c r="Q132" s="6">
        <v>195</v>
      </c>
      <c r="R132" s="6">
        <f t="shared" si="43"/>
        <v>4724</v>
      </c>
      <c r="S132" s="11" t="s">
        <v>136</v>
      </c>
      <c r="V132" s="3">
        <v>40224</v>
      </c>
      <c r="W132" t="s">
        <v>549</v>
      </c>
      <c r="X132" s="7"/>
      <c r="Y132" s="7">
        <f>209*2</f>
        <v>418</v>
      </c>
      <c r="Z132" s="6">
        <f t="shared" si="42"/>
        <v>131131</v>
      </c>
      <c r="AA132" s="11" t="s">
        <v>10</v>
      </c>
      <c r="AB132" s="7">
        <f t="shared" si="40"/>
        <v>9366.5</v>
      </c>
    </row>
    <row r="133" spans="6:28" ht="13.5">
      <c r="F133" s="7">
        <f t="shared" si="41"/>
        <v>0</v>
      </c>
      <c r="N133" s="3">
        <v>40010</v>
      </c>
      <c r="O133" t="s">
        <v>101</v>
      </c>
      <c r="P133" s="6"/>
      <c r="Q133" s="6">
        <v>120</v>
      </c>
      <c r="R133" s="6">
        <f aca="true" t="shared" si="44" ref="R133:R144">+R132+P133-Q133</f>
        <v>4604</v>
      </c>
      <c r="S133" s="11" t="s">
        <v>136</v>
      </c>
      <c r="V133" s="3">
        <v>40224</v>
      </c>
      <c r="W133" t="s">
        <v>547</v>
      </c>
      <c r="X133" s="7"/>
      <c r="Y133" s="6">
        <v>105</v>
      </c>
      <c r="Z133" s="6">
        <f t="shared" si="42"/>
        <v>131026</v>
      </c>
      <c r="AA133" s="11" t="s">
        <v>10</v>
      </c>
      <c r="AB133" s="7">
        <f t="shared" si="40"/>
        <v>9359</v>
      </c>
    </row>
    <row r="134" spans="6:28" ht="13.5">
      <c r="F134" s="7">
        <f t="shared" si="41"/>
        <v>0</v>
      </c>
      <c r="N134" s="3">
        <v>40011</v>
      </c>
      <c r="O134" t="s">
        <v>17</v>
      </c>
      <c r="P134" s="6"/>
      <c r="Q134" s="6">
        <v>996</v>
      </c>
      <c r="R134" s="6">
        <f t="shared" si="44"/>
        <v>3608</v>
      </c>
      <c r="S134" s="11" t="s">
        <v>136</v>
      </c>
      <c r="V134" s="3">
        <v>40224</v>
      </c>
      <c r="W134" t="s">
        <v>550</v>
      </c>
      <c r="X134" s="7"/>
      <c r="Y134" s="7">
        <f>105*2</f>
        <v>210</v>
      </c>
      <c r="Z134" s="6">
        <f t="shared" si="42"/>
        <v>130816</v>
      </c>
      <c r="AA134" s="11" t="s">
        <v>10</v>
      </c>
      <c r="AB134" s="7">
        <f t="shared" si="40"/>
        <v>9344</v>
      </c>
    </row>
    <row r="135" spans="6:28" ht="13.5">
      <c r="F135" s="7">
        <f t="shared" si="41"/>
        <v>0</v>
      </c>
      <c r="N135" s="3">
        <v>40011</v>
      </c>
      <c r="O135" t="s">
        <v>124</v>
      </c>
      <c r="P135" s="6"/>
      <c r="Q135" s="6">
        <f>105*2</f>
        <v>210</v>
      </c>
      <c r="R135" s="6">
        <f t="shared" si="44"/>
        <v>3398</v>
      </c>
      <c r="S135" s="11" t="s">
        <v>136</v>
      </c>
      <c r="V135" s="3">
        <v>40224</v>
      </c>
      <c r="W135" t="s">
        <v>551</v>
      </c>
      <c r="X135" s="7"/>
      <c r="Y135" s="7">
        <f>105*2</f>
        <v>210</v>
      </c>
      <c r="Z135" s="6">
        <f t="shared" si="42"/>
        <v>130606</v>
      </c>
      <c r="AA135" s="11" t="s">
        <v>10</v>
      </c>
      <c r="AB135" s="7">
        <f t="shared" si="40"/>
        <v>9329</v>
      </c>
    </row>
    <row r="136" spans="6:28" ht="13.5">
      <c r="F136" s="7">
        <f t="shared" si="41"/>
        <v>0</v>
      </c>
      <c r="N136" s="3">
        <v>40011</v>
      </c>
      <c r="O136" t="s">
        <v>89</v>
      </c>
      <c r="P136" s="6"/>
      <c r="Q136" s="6">
        <v>105</v>
      </c>
      <c r="R136" s="6">
        <f t="shared" si="44"/>
        <v>3293</v>
      </c>
      <c r="S136" s="11" t="s">
        <v>136</v>
      </c>
      <c r="V136" s="3">
        <v>40224</v>
      </c>
      <c r="W136" t="s">
        <v>386</v>
      </c>
      <c r="X136" s="7"/>
      <c r="Y136" s="6">
        <v>105</v>
      </c>
      <c r="Z136" s="6">
        <f t="shared" si="42"/>
        <v>130501</v>
      </c>
      <c r="AA136" s="11" t="s">
        <v>10</v>
      </c>
      <c r="AB136" s="7">
        <f t="shared" si="40"/>
        <v>9321.5</v>
      </c>
    </row>
    <row r="137" spans="6:28" ht="13.5">
      <c r="F137" s="7">
        <f t="shared" si="41"/>
        <v>0</v>
      </c>
      <c r="N137" s="3">
        <v>40014</v>
      </c>
      <c r="O137" t="s">
        <v>126</v>
      </c>
      <c r="P137" s="6"/>
      <c r="Q137" s="6">
        <v>105</v>
      </c>
      <c r="R137" s="6">
        <f t="shared" si="44"/>
        <v>3188</v>
      </c>
      <c r="S137" s="11" t="s">
        <v>136</v>
      </c>
      <c r="T137" t="s">
        <v>165</v>
      </c>
      <c r="V137" s="3">
        <v>40224</v>
      </c>
      <c r="W137" t="s">
        <v>552</v>
      </c>
      <c r="X137" s="7"/>
      <c r="Y137" s="6">
        <v>105</v>
      </c>
      <c r="Z137" s="6">
        <f t="shared" si="42"/>
        <v>130396</v>
      </c>
      <c r="AA137" s="11" t="s">
        <v>10</v>
      </c>
      <c r="AB137" s="7">
        <f t="shared" si="40"/>
        <v>9314</v>
      </c>
    </row>
    <row r="138" spans="6:28" ht="13.5">
      <c r="F138" s="7">
        <f t="shared" si="41"/>
        <v>0</v>
      </c>
      <c r="N138" s="3">
        <v>40014</v>
      </c>
      <c r="O138" t="s">
        <v>101</v>
      </c>
      <c r="P138" s="6"/>
      <c r="Q138" s="6">
        <v>120</v>
      </c>
      <c r="R138" s="6">
        <f t="shared" si="44"/>
        <v>3068</v>
      </c>
      <c r="S138" s="11" t="s">
        <v>136</v>
      </c>
      <c r="T138" s="7">
        <f aca="true" t="shared" si="45" ref="T138:T144">+R138/(40028-N138)</f>
        <v>219.14285714285714</v>
      </c>
      <c r="V138" s="3">
        <v>40224</v>
      </c>
      <c r="W138" t="s">
        <v>553</v>
      </c>
      <c r="X138" s="6"/>
      <c r="Y138" s="6">
        <v>105</v>
      </c>
      <c r="Z138" s="6">
        <f t="shared" si="42"/>
        <v>130291</v>
      </c>
      <c r="AA138" s="11" t="s">
        <v>10</v>
      </c>
      <c r="AB138" s="7">
        <f t="shared" si="40"/>
        <v>9306.5</v>
      </c>
    </row>
    <row r="139" spans="6:28" ht="13.5">
      <c r="F139" s="7">
        <f t="shared" si="41"/>
        <v>0</v>
      </c>
      <c r="N139" s="3">
        <v>40014</v>
      </c>
      <c r="O139" t="s">
        <v>50</v>
      </c>
      <c r="P139" s="6"/>
      <c r="Q139" s="6">
        <f>-20-268</f>
        <v>-288</v>
      </c>
      <c r="R139" s="6">
        <f t="shared" si="44"/>
        <v>3356</v>
      </c>
      <c r="S139" s="11" t="s">
        <v>136</v>
      </c>
      <c r="T139" s="7">
        <f t="shared" si="45"/>
        <v>239.71428571428572</v>
      </c>
      <c r="V139" s="3">
        <v>40224</v>
      </c>
      <c r="W139" t="s">
        <v>554</v>
      </c>
      <c r="X139" s="6"/>
      <c r="Y139" s="6">
        <v>105</v>
      </c>
      <c r="Z139" s="6">
        <f t="shared" si="42"/>
        <v>130186</v>
      </c>
      <c r="AA139" s="11" t="s">
        <v>10</v>
      </c>
      <c r="AB139" s="7">
        <f t="shared" si="40"/>
        <v>9299</v>
      </c>
    </row>
    <row r="140" spans="6:28" ht="13.5">
      <c r="F140" s="7">
        <f t="shared" si="41"/>
        <v>0</v>
      </c>
      <c r="N140" s="3">
        <v>40014</v>
      </c>
      <c r="O140" t="s">
        <v>17</v>
      </c>
      <c r="P140" s="6">
        <v>996</v>
      </c>
      <c r="Q140" s="6">
        <v>996</v>
      </c>
      <c r="R140" s="6">
        <f t="shared" si="44"/>
        <v>3356</v>
      </c>
      <c r="S140" s="11" t="s">
        <v>76</v>
      </c>
      <c r="T140" s="7">
        <f t="shared" si="45"/>
        <v>239.71428571428572</v>
      </c>
      <c r="V140" s="3">
        <v>40224</v>
      </c>
      <c r="W140" t="s">
        <v>555</v>
      </c>
      <c r="X140" s="6"/>
      <c r="Y140" s="6">
        <f>105*2</f>
        <v>210</v>
      </c>
      <c r="Z140" s="6">
        <f t="shared" si="42"/>
        <v>129976</v>
      </c>
      <c r="AA140" s="11" t="s">
        <v>10</v>
      </c>
      <c r="AB140" s="7">
        <f t="shared" si="40"/>
        <v>9284</v>
      </c>
    </row>
    <row r="141" spans="6:28" ht="13.5">
      <c r="F141" s="7">
        <f t="shared" si="41"/>
        <v>0</v>
      </c>
      <c r="N141" s="3">
        <v>40014</v>
      </c>
      <c r="O141" t="s">
        <v>124</v>
      </c>
      <c r="P141" s="6"/>
      <c r="Q141" s="6">
        <f>105*2</f>
        <v>210</v>
      </c>
      <c r="R141" s="6">
        <f t="shared" si="44"/>
        <v>3146</v>
      </c>
      <c r="S141" s="11" t="s">
        <v>136</v>
      </c>
      <c r="T141" s="7">
        <f t="shared" si="45"/>
        <v>224.71428571428572</v>
      </c>
      <c r="V141" s="3">
        <v>40224</v>
      </c>
      <c r="W141" t="s">
        <v>556</v>
      </c>
      <c r="X141" s="6"/>
      <c r="Y141" s="6">
        <f>105*2</f>
        <v>210</v>
      </c>
      <c r="Z141" s="6">
        <f t="shared" si="42"/>
        <v>129766</v>
      </c>
      <c r="AA141" s="11" t="s">
        <v>10</v>
      </c>
      <c r="AB141" s="7">
        <f t="shared" si="40"/>
        <v>9269</v>
      </c>
    </row>
    <row r="142" spans="6:28" ht="13.5">
      <c r="F142" s="7">
        <f t="shared" si="41"/>
        <v>0</v>
      </c>
      <c r="N142" s="3">
        <v>40014</v>
      </c>
      <c r="O142" t="s">
        <v>128</v>
      </c>
      <c r="P142" s="6"/>
      <c r="Q142" s="6">
        <v>105</v>
      </c>
      <c r="R142" s="6">
        <f t="shared" si="44"/>
        <v>3041</v>
      </c>
      <c r="S142" s="11" t="s">
        <v>136</v>
      </c>
      <c r="T142" s="7">
        <f t="shared" si="45"/>
        <v>217.21428571428572</v>
      </c>
      <c r="V142" s="3">
        <v>40224</v>
      </c>
      <c r="W142" t="s">
        <v>557</v>
      </c>
      <c r="X142" s="7"/>
      <c r="Y142" s="6">
        <v>105</v>
      </c>
      <c r="Z142" s="6">
        <f t="shared" si="42"/>
        <v>129661</v>
      </c>
      <c r="AA142" s="11" t="s">
        <v>10</v>
      </c>
      <c r="AB142" s="7">
        <f t="shared" si="40"/>
        <v>9261.5</v>
      </c>
    </row>
    <row r="143" spans="6:28" ht="13.5">
      <c r="F143" s="7">
        <f t="shared" si="41"/>
        <v>0</v>
      </c>
      <c r="N143" s="3">
        <v>40014</v>
      </c>
      <c r="O143" t="s">
        <v>113</v>
      </c>
      <c r="P143" s="6"/>
      <c r="Q143" s="6">
        <v>300</v>
      </c>
      <c r="R143" s="6">
        <f t="shared" si="44"/>
        <v>2741</v>
      </c>
      <c r="S143" s="11" t="s">
        <v>136</v>
      </c>
      <c r="T143" s="7">
        <f t="shared" si="45"/>
        <v>195.78571428571428</v>
      </c>
      <c r="V143" s="3">
        <v>40224</v>
      </c>
      <c r="W143" t="s">
        <v>558</v>
      </c>
      <c r="X143" s="7"/>
      <c r="Y143" s="6">
        <v>105</v>
      </c>
      <c r="Z143" s="6">
        <f t="shared" si="42"/>
        <v>129556</v>
      </c>
      <c r="AA143" s="11" t="s">
        <v>10</v>
      </c>
      <c r="AB143" s="7">
        <f t="shared" si="40"/>
        <v>9254</v>
      </c>
    </row>
    <row r="144" spans="6:28" ht="13.5">
      <c r="F144" s="7">
        <f t="shared" si="41"/>
        <v>0</v>
      </c>
      <c r="N144" s="3">
        <v>40014</v>
      </c>
      <c r="O144" t="s">
        <v>101</v>
      </c>
      <c r="P144" s="6"/>
      <c r="Q144" s="6">
        <v>120</v>
      </c>
      <c r="R144" s="6">
        <f t="shared" si="44"/>
        <v>2621</v>
      </c>
      <c r="S144" s="11" t="s">
        <v>136</v>
      </c>
      <c r="T144" s="7">
        <f t="shared" si="45"/>
        <v>187.21428571428572</v>
      </c>
      <c r="V144" s="3">
        <v>40224</v>
      </c>
      <c r="W144" t="s">
        <v>559</v>
      </c>
      <c r="X144" s="7"/>
      <c r="Y144" s="6">
        <v>105</v>
      </c>
      <c r="Z144" s="6">
        <f t="shared" si="42"/>
        <v>129451</v>
      </c>
      <c r="AA144" s="11" t="s">
        <v>10</v>
      </c>
      <c r="AB144" s="7">
        <f t="shared" si="40"/>
        <v>9246.5</v>
      </c>
    </row>
    <row r="145" spans="6:28" ht="13.5">
      <c r="F145" s="7">
        <f t="shared" si="41"/>
        <v>0</v>
      </c>
      <c r="N145" s="3">
        <v>40016</v>
      </c>
      <c r="O145" t="s">
        <v>89</v>
      </c>
      <c r="P145" s="6"/>
      <c r="Q145" s="6">
        <v>105</v>
      </c>
      <c r="R145" s="6">
        <f aca="true" t="shared" si="46" ref="R145:R154">+R144+P145-Q145</f>
        <v>2516</v>
      </c>
      <c r="S145" s="11" t="s">
        <v>136</v>
      </c>
      <c r="T145" s="7">
        <f aca="true" t="shared" si="47" ref="T145:T154">+R145/(40028-N145)</f>
        <v>209.66666666666666</v>
      </c>
      <c r="V145" s="3">
        <v>40224</v>
      </c>
      <c r="W145" t="s">
        <v>560</v>
      </c>
      <c r="X145" s="7"/>
      <c r="Y145" s="7">
        <f>120+120+4052+882</f>
        <v>5174</v>
      </c>
      <c r="Z145" s="6">
        <f t="shared" si="42"/>
        <v>124277</v>
      </c>
      <c r="AA145" s="11" t="s">
        <v>10</v>
      </c>
      <c r="AB145" s="7">
        <f t="shared" si="40"/>
        <v>8876.92857142857</v>
      </c>
    </row>
    <row r="146" spans="6:28" ht="13.5">
      <c r="F146" s="7">
        <f t="shared" si="41"/>
        <v>0</v>
      </c>
      <c r="N146" s="3">
        <v>40016</v>
      </c>
      <c r="O146" t="s">
        <v>126</v>
      </c>
      <c r="P146" s="6"/>
      <c r="Q146" s="6">
        <v>105</v>
      </c>
      <c r="R146" s="6">
        <f t="shared" si="46"/>
        <v>2411</v>
      </c>
      <c r="S146" s="11" t="s">
        <v>136</v>
      </c>
      <c r="T146" s="7">
        <f t="shared" si="47"/>
        <v>200.91666666666666</v>
      </c>
      <c r="V146" s="3">
        <v>40224</v>
      </c>
      <c r="W146" t="s">
        <v>561</v>
      </c>
      <c r="X146" s="7"/>
      <c r="Y146" s="7">
        <v>2000</v>
      </c>
      <c r="Z146" s="6">
        <f t="shared" si="42"/>
        <v>122277</v>
      </c>
      <c r="AA146" s="11" t="s">
        <v>10</v>
      </c>
      <c r="AB146" s="7">
        <f t="shared" si="40"/>
        <v>8734.07142857143</v>
      </c>
    </row>
    <row r="147" spans="6:28" ht="13.5">
      <c r="F147" s="7">
        <f t="shared" si="41"/>
        <v>0</v>
      </c>
      <c r="N147" s="3">
        <v>40016</v>
      </c>
      <c r="O147" t="s">
        <v>124</v>
      </c>
      <c r="P147" s="6"/>
      <c r="Q147" s="6">
        <v>105</v>
      </c>
      <c r="R147" s="6">
        <f t="shared" si="46"/>
        <v>2306</v>
      </c>
      <c r="S147" s="11" t="s">
        <v>136</v>
      </c>
      <c r="T147" s="7">
        <f t="shared" si="47"/>
        <v>192.16666666666666</v>
      </c>
      <c r="V147" s="3">
        <v>40224</v>
      </c>
      <c r="W147" t="s">
        <v>27</v>
      </c>
      <c r="X147" s="7"/>
      <c r="Y147" s="7">
        <v>5073</v>
      </c>
      <c r="Z147" s="6">
        <f t="shared" si="42"/>
        <v>117204</v>
      </c>
      <c r="AA147" s="11" t="s">
        <v>10</v>
      </c>
      <c r="AB147" s="7">
        <f t="shared" si="40"/>
        <v>8371.714285714286</v>
      </c>
    </row>
    <row r="148" spans="6:28" ht="13.5">
      <c r="F148" s="7">
        <f t="shared" si="41"/>
        <v>0</v>
      </c>
      <c r="N148" s="3">
        <v>40016</v>
      </c>
      <c r="O148" t="s">
        <v>101</v>
      </c>
      <c r="P148" s="6"/>
      <c r="Q148" s="6">
        <v>105</v>
      </c>
      <c r="R148" s="6">
        <f t="shared" si="46"/>
        <v>2201</v>
      </c>
      <c r="S148" s="11" t="s">
        <v>136</v>
      </c>
      <c r="T148" s="7">
        <f t="shared" si="47"/>
        <v>183.41666666666666</v>
      </c>
      <c r="V148" s="3">
        <v>40224</v>
      </c>
      <c r="W148" t="s">
        <v>701</v>
      </c>
      <c r="X148" s="6"/>
      <c r="Y148" s="6">
        <v>12600</v>
      </c>
      <c r="Z148" s="6">
        <f t="shared" si="42"/>
        <v>104604</v>
      </c>
      <c r="AA148" s="11" t="s">
        <v>10</v>
      </c>
      <c r="AB148" s="7">
        <f t="shared" si="40"/>
        <v>7471.714285714285</v>
      </c>
    </row>
    <row r="149" spans="6:28" ht="13.5">
      <c r="F149" s="7">
        <f t="shared" si="41"/>
        <v>0</v>
      </c>
      <c r="N149" s="3">
        <v>40018</v>
      </c>
      <c r="O149" t="s">
        <v>151</v>
      </c>
      <c r="P149" s="6"/>
      <c r="Q149" s="6">
        <f>-1021-605</f>
        <v>-1626</v>
      </c>
      <c r="R149" s="6">
        <f t="shared" si="46"/>
        <v>3827</v>
      </c>
      <c r="S149" s="11" t="s">
        <v>136</v>
      </c>
      <c r="T149" s="7">
        <f t="shared" si="47"/>
        <v>382.7</v>
      </c>
      <c r="V149" s="3">
        <v>40224</v>
      </c>
      <c r="W149" t="s">
        <v>24</v>
      </c>
      <c r="X149" s="6"/>
      <c r="Y149" s="6">
        <v>2656</v>
      </c>
      <c r="Z149" s="6">
        <f t="shared" si="42"/>
        <v>101948</v>
      </c>
      <c r="AA149" s="11" t="s">
        <v>10</v>
      </c>
      <c r="AB149" s="7">
        <f t="shared" si="40"/>
        <v>7282</v>
      </c>
    </row>
    <row r="150" spans="6:28" ht="13.5">
      <c r="F150" s="7">
        <f t="shared" si="41"/>
        <v>0</v>
      </c>
      <c r="N150" s="3">
        <v>40018</v>
      </c>
      <c r="O150" t="s">
        <v>101</v>
      </c>
      <c r="P150" s="6"/>
      <c r="Q150" s="6">
        <v>120</v>
      </c>
      <c r="R150" s="6">
        <f t="shared" si="46"/>
        <v>3707</v>
      </c>
      <c r="S150" s="11" t="s">
        <v>136</v>
      </c>
      <c r="T150" s="7">
        <f t="shared" si="47"/>
        <v>370.7</v>
      </c>
      <c r="V150" s="3">
        <v>40224</v>
      </c>
      <c r="W150" t="s">
        <v>25</v>
      </c>
      <c r="X150" s="6"/>
      <c r="Y150" s="6">
        <v>10431</v>
      </c>
      <c r="Z150" s="6">
        <f t="shared" si="42"/>
        <v>91517</v>
      </c>
      <c r="AA150" s="11" t="s">
        <v>10</v>
      </c>
      <c r="AB150" s="7">
        <f t="shared" si="40"/>
        <v>6536.928571428572</v>
      </c>
    </row>
    <row r="151" spans="6:28" ht="13.5">
      <c r="F151" s="7">
        <f t="shared" si="41"/>
        <v>0</v>
      </c>
      <c r="N151" s="3">
        <v>40018</v>
      </c>
      <c r="O151" t="s">
        <v>144</v>
      </c>
      <c r="P151" s="6"/>
      <c r="Q151" s="6">
        <v>250</v>
      </c>
      <c r="R151" s="6">
        <f t="shared" si="46"/>
        <v>3457</v>
      </c>
      <c r="S151" s="11" t="s">
        <v>136</v>
      </c>
      <c r="T151" s="7">
        <f t="shared" si="47"/>
        <v>345.7</v>
      </c>
      <c r="V151" s="3">
        <v>40224</v>
      </c>
      <c r="W151" t="s">
        <v>25</v>
      </c>
      <c r="X151" s="6"/>
      <c r="Y151" s="6">
        <v>8830</v>
      </c>
      <c r="Z151" s="6">
        <f t="shared" si="42"/>
        <v>82687</v>
      </c>
      <c r="AA151" s="11" t="s">
        <v>10</v>
      </c>
      <c r="AB151" s="7">
        <f t="shared" si="40"/>
        <v>5906.214285714285</v>
      </c>
    </row>
    <row r="152" spans="6:28" ht="13.5">
      <c r="F152" s="7">
        <f t="shared" si="41"/>
        <v>0</v>
      </c>
      <c r="N152" s="3">
        <v>40018</v>
      </c>
      <c r="O152" t="s">
        <v>17</v>
      </c>
      <c r="P152" s="6"/>
      <c r="Q152" s="6">
        <v>996</v>
      </c>
      <c r="R152" s="6">
        <f t="shared" si="46"/>
        <v>2461</v>
      </c>
      <c r="S152" s="11" t="s">
        <v>136</v>
      </c>
      <c r="T152" s="7">
        <f t="shared" si="47"/>
        <v>246.1</v>
      </c>
      <c r="V152" s="3">
        <v>40224</v>
      </c>
      <c r="W152" t="s">
        <v>562</v>
      </c>
      <c r="X152" s="7"/>
      <c r="Y152" s="7">
        <v>3743</v>
      </c>
      <c r="Z152" s="6">
        <f t="shared" si="42"/>
        <v>78944</v>
      </c>
      <c r="AA152" s="11" t="s">
        <v>10</v>
      </c>
      <c r="AB152" s="7">
        <f t="shared" si="40"/>
        <v>5638.857142857143</v>
      </c>
    </row>
    <row r="153" spans="6:28" ht="13.5">
      <c r="F153" s="7">
        <f t="shared" si="41"/>
        <v>0</v>
      </c>
      <c r="N153" s="3">
        <v>40018</v>
      </c>
      <c r="O153" t="s">
        <v>152</v>
      </c>
      <c r="P153" s="6"/>
      <c r="Q153" s="6">
        <f>105*3</f>
        <v>315</v>
      </c>
      <c r="R153" s="6">
        <f t="shared" si="46"/>
        <v>2146</v>
      </c>
      <c r="S153" s="11" t="s">
        <v>136</v>
      </c>
      <c r="T153" s="7">
        <f t="shared" si="47"/>
        <v>214.6</v>
      </c>
      <c r="V153" s="3">
        <v>40224</v>
      </c>
      <c r="W153" t="s">
        <v>562</v>
      </c>
      <c r="X153" s="7"/>
      <c r="Y153" s="7">
        <v>4418</v>
      </c>
      <c r="Z153" s="6">
        <f t="shared" si="42"/>
        <v>74526</v>
      </c>
      <c r="AA153" s="11" t="s">
        <v>10</v>
      </c>
      <c r="AB153" s="7">
        <f t="shared" si="40"/>
        <v>5323.285714285715</v>
      </c>
    </row>
    <row r="154" spans="6:28" ht="13.5">
      <c r="F154" s="7">
        <f t="shared" si="41"/>
        <v>0</v>
      </c>
      <c r="N154" s="3">
        <v>40018</v>
      </c>
      <c r="O154" s="11" t="s">
        <v>141</v>
      </c>
      <c r="P154" s="15"/>
      <c r="Q154" s="15">
        <v>1000</v>
      </c>
      <c r="R154" s="15">
        <f t="shared" si="46"/>
        <v>1146</v>
      </c>
      <c r="S154" s="11" t="s">
        <v>102</v>
      </c>
      <c r="T154" s="7">
        <f t="shared" si="47"/>
        <v>114.6</v>
      </c>
      <c r="V154" s="3">
        <v>40224</v>
      </c>
      <c r="W154" t="s">
        <v>312</v>
      </c>
      <c r="X154" s="7"/>
      <c r="Y154" s="7">
        <v>3200</v>
      </c>
      <c r="Z154" s="6">
        <f t="shared" si="42"/>
        <v>71326</v>
      </c>
      <c r="AA154" s="11" t="s">
        <v>10</v>
      </c>
      <c r="AB154" s="7">
        <f t="shared" si="40"/>
        <v>5094.714285714285</v>
      </c>
    </row>
    <row r="155" spans="6:28" ht="13.5">
      <c r="F155" s="7">
        <f t="shared" si="41"/>
        <v>0</v>
      </c>
      <c r="N155" s="3">
        <v>40018</v>
      </c>
      <c r="O155" t="s">
        <v>145</v>
      </c>
      <c r="P155" s="6"/>
      <c r="Q155" s="6">
        <f>300*3</f>
        <v>900</v>
      </c>
      <c r="R155" s="6">
        <f>+R154+P155-Q155</f>
        <v>246</v>
      </c>
      <c r="S155" s="11" t="s">
        <v>136</v>
      </c>
      <c r="T155" s="7">
        <f aca="true" t="shared" si="48" ref="T155:T162">+R155/(40028-N155)</f>
        <v>24.6</v>
      </c>
      <c r="V155" s="3">
        <v>40224</v>
      </c>
      <c r="W155" t="s">
        <v>563</v>
      </c>
      <c r="X155" s="7"/>
      <c r="Y155" s="7">
        <f>300*15</f>
        <v>4500</v>
      </c>
      <c r="Z155" s="6">
        <f t="shared" si="42"/>
        <v>66826</v>
      </c>
      <c r="AA155" s="11" t="s">
        <v>426</v>
      </c>
      <c r="AB155" s="7">
        <f t="shared" si="40"/>
        <v>4773.285714285715</v>
      </c>
    </row>
    <row r="156" spans="6:28" ht="13.5">
      <c r="F156" s="7">
        <f t="shared" si="41"/>
        <v>0</v>
      </c>
      <c r="N156" s="3">
        <v>40018</v>
      </c>
      <c r="O156" t="s">
        <v>143</v>
      </c>
      <c r="P156" s="6">
        <v>12000</v>
      </c>
      <c r="Q156" s="6"/>
      <c r="R156" s="6">
        <f>+R155+P156-Q156</f>
        <v>12246</v>
      </c>
      <c r="S156" s="11" t="s">
        <v>136</v>
      </c>
      <c r="T156" s="7">
        <f t="shared" si="48"/>
        <v>1224.6</v>
      </c>
      <c r="V156" s="3">
        <v>40224</v>
      </c>
      <c r="W156" t="s">
        <v>50</v>
      </c>
      <c r="X156" s="7"/>
      <c r="Y156" s="7">
        <v>1</v>
      </c>
      <c r="Z156" s="6">
        <f t="shared" si="42"/>
        <v>66825</v>
      </c>
      <c r="AA156" s="28">
        <f>1/65248</f>
        <v>1.5326140264835705E-05</v>
      </c>
      <c r="AB156" s="7">
        <f t="shared" si="40"/>
        <v>4773.214285714285</v>
      </c>
    </row>
    <row r="157" spans="6:28" ht="13.5">
      <c r="F157" s="7">
        <f t="shared" si="41"/>
        <v>0</v>
      </c>
      <c r="N157" s="3">
        <v>40018</v>
      </c>
      <c r="O157" t="s">
        <v>225</v>
      </c>
      <c r="P157" s="6"/>
      <c r="Q157" s="6">
        <v>105</v>
      </c>
      <c r="R157" s="6">
        <f aca="true" t="shared" si="49" ref="R157:R162">+R156+P157-Q157</f>
        <v>12141</v>
      </c>
      <c r="S157" s="11" t="s">
        <v>136</v>
      </c>
      <c r="T157" s="7">
        <f t="shared" si="48"/>
        <v>1214.1</v>
      </c>
      <c r="V157" s="3">
        <v>40224</v>
      </c>
      <c r="W157" t="s">
        <v>17</v>
      </c>
      <c r="X157" s="6"/>
      <c r="Y157" s="6">
        <v>996</v>
      </c>
      <c r="Z157" s="6">
        <f aca="true" t="shared" si="50" ref="Z157:Z170">+Z156+X157-Y157</f>
        <v>65829</v>
      </c>
      <c r="AA157" s="11" t="s">
        <v>10</v>
      </c>
      <c r="AB157" s="7">
        <f aca="true" t="shared" si="51" ref="AB157:AB175">+Z157/(40238-V157)</f>
        <v>4702.071428571428</v>
      </c>
    </row>
    <row r="158" spans="6:28" ht="13.5">
      <c r="F158" s="7">
        <f t="shared" si="41"/>
        <v>0</v>
      </c>
      <c r="N158" s="3">
        <v>40018</v>
      </c>
      <c r="O158" t="s">
        <v>72</v>
      </c>
      <c r="P158" s="6"/>
      <c r="Q158" s="6">
        <v>996</v>
      </c>
      <c r="R158" s="6">
        <f t="shared" si="49"/>
        <v>11145</v>
      </c>
      <c r="S158" s="11" t="s">
        <v>136</v>
      </c>
      <c r="T158" s="7">
        <f t="shared" si="48"/>
        <v>1114.5</v>
      </c>
      <c r="V158" s="3">
        <v>40224</v>
      </c>
      <c r="W158" t="s">
        <v>183</v>
      </c>
      <c r="X158" s="7"/>
      <c r="Y158" s="7">
        <v>120</v>
      </c>
      <c r="Z158" s="6">
        <f t="shared" si="50"/>
        <v>65709</v>
      </c>
      <c r="AA158" s="11" t="s">
        <v>10</v>
      </c>
      <c r="AB158" s="7">
        <f t="shared" si="51"/>
        <v>4693.5</v>
      </c>
    </row>
    <row r="159" spans="6:28" ht="13.5">
      <c r="F159" s="7">
        <f t="shared" si="41"/>
        <v>0</v>
      </c>
      <c r="N159" s="3">
        <v>40018</v>
      </c>
      <c r="O159" t="s">
        <v>94</v>
      </c>
      <c r="P159" s="6"/>
      <c r="Q159" s="6">
        <v>2509</v>
      </c>
      <c r="R159" s="6">
        <f t="shared" si="49"/>
        <v>8636</v>
      </c>
      <c r="S159" s="11" t="s">
        <v>136</v>
      </c>
      <c r="T159" s="7">
        <f t="shared" si="48"/>
        <v>863.6</v>
      </c>
      <c r="V159" s="3">
        <v>40224</v>
      </c>
      <c r="W159" t="s">
        <v>532</v>
      </c>
      <c r="X159" s="7"/>
      <c r="Y159" s="7">
        <v>490</v>
      </c>
      <c r="Z159" s="6">
        <f t="shared" si="50"/>
        <v>65219</v>
      </c>
      <c r="AA159" s="11" t="s">
        <v>10</v>
      </c>
      <c r="AB159" s="7">
        <f t="shared" si="51"/>
        <v>4658.5</v>
      </c>
    </row>
    <row r="160" spans="6:28" ht="13.5">
      <c r="F160" s="7">
        <f t="shared" si="41"/>
        <v>0</v>
      </c>
      <c r="N160" s="3">
        <v>40018</v>
      </c>
      <c r="O160" t="s">
        <v>146</v>
      </c>
      <c r="P160" s="6"/>
      <c r="Q160" s="6">
        <v>850</v>
      </c>
      <c r="R160" s="6">
        <f t="shared" si="49"/>
        <v>7786</v>
      </c>
      <c r="S160" s="11" t="s">
        <v>136</v>
      </c>
      <c r="T160" s="7">
        <f t="shared" si="48"/>
        <v>778.6</v>
      </c>
      <c r="V160" s="3">
        <v>40224</v>
      </c>
      <c r="W160" t="s">
        <v>565</v>
      </c>
      <c r="X160" s="6"/>
      <c r="Y160" s="6">
        <v>780</v>
      </c>
      <c r="Z160" s="6">
        <f t="shared" si="50"/>
        <v>64439</v>
      </c>
      <c r="AA160" s="11" t="s">
        <v>10</v>
      </c>
      <c r="AB160" s="7">
        <f t="shared" si="51"/>
        <v>4602.785714285715</v>
      </c>
    </row>
    <row r="161" spans="14:28" ht="13.5">
      <c r="N161" s="3">
        <v>40018</v>
      </c>
      <c r="O161" t="s">
        <v>149</v>
      </c>
      <c r="P161" s="6"/>
      <c r="Q161" s="6">
        <v>105</v>
      </c>
      <c r="R161" s="6">
        <f t="shared" si="49"/>
        <v>7681</v>
      </c>
      <c r="S161" s="11" t="s">
        <v>136</v>
      </c>
      <c r="T161" s="7">
        <f t="shared" si="48"/>
        <v>768.1</v>
      </c>
      <c r="V161" s="3">
        <v>40224</v>
      </c>
      <c r="W161" t="s">
        <v>26</v>
      </c>
      <c r="X161" s="7"/>
      <c r="Y161" s="7">
        <v>4410</v>
      </c>
      <c r="Z161" s="6">
        <f t="shared" si="50"/>
        <v>60029</v>
      </c>
      <c r="AA161" s="11" t="s">
        <v>10</v>
      </c>
      <c r="AB161" s="7">
        <f t="shared" si="51"/>
        <v>4287.785714285715</v>
      </c>
    </row>
    <row r="162" spans="14:28" ht="13.5">
      <c r="N162" s="3">
        <v>40018</v>
      </c>
      <c r="O162" t="s">
        <v>150</v>
      </c>
      <c r="P162" s="6"/>
      <c r="Q162" s="6">
        <v>100</v>
      </c>
      <c r="R162" s="6">
        <f t="shared" si="49"/>
        <v>7581</v>
      </c>
      <c r="S162" s="11" t="s">
        <v>136</v>
      </c>
      <c r="T162" s="7">
        <f t="shared" si="48"/>
        <v>758.1</v>
      </c>
      <c r="V162" s="3">
        <v>40224</v>
      </c>
      <c r="W162" t="s">
        <v>126</v>
      </c>
      <c r="X162" s="7"/>
      <c r="Y162" s="7">
        <v>105</v>
      </c>
      <c r="Z162" s="6">
        <f t="shared" si="50"/>
        <v>59924</v>
      </c>
      <c r="AA162" s="11" t="s">
        <v>10</v>
      </c>
      <c r="AB162" s="7">
        <f t="shared" si="51"/>
        <v>4280.285714285715</v>
      </c>
    </row>
    <row r="163" spans="14:28" ht="13.5">
      <c r="N163" s="3">
        <v>40019</v>
      </c>
      <c r="O163" t="s">
        <v>155</v>
      </c>
      <c r="P163" s="6"/>
      <c r="Q163" s="6">
        <v>600</v>
      </c>
      <c r="R163" s="6">
        <f>+R162+P163-Q163</f>
        <v>6981</v>
      </c>
      <c r="S163" s="11" t="s">
        <v>136</v>
      </c>
      <c r="T163" s="7">
        <f>+R163/(40028-N163)</f>
        <v>775.6666666666666</v>
      </c>
      <c r="V163" s="3">
        <v>40224</v>
      </c>
      <c r="W163" t="s">
        <v>566</v>
      </c>
      <c r="X163" s="7"/>
      <c r="Y163" s="7">
        <v>105</v>
      </c>
      <c r="Z163" s="6">
        <f t="shared" si="50"/>
        <v>59819</v>
      </c>
      <c r="AA163" s="11" t="s">
        <v>10</v>
      </c>
      <c r="AB163" s="7">
        <f t="shared" si="51"/>
        <v>4272.785714285715</v>
      </c>
    </row>
    <row r="164" spans="14:28" ht="13.5">
      <c r="N164" s="3">
        <v>40020</v>
      </c>
      <c r="O164" t="s">
        <v>101</v>
      </c>
      <c r="P164" s="6"/>
      <c r="Q164" s="6">
        <v>120</v>
      </c>
      <c r="R164" s="6">
        <f>+R163+P164-Q164</f>
        <v>6861</v>
      </c>
      <c r="S164" s="11" t="s">
        <v>136</v>
      </c>
      <c r="T164" s="7">
        <f>+R164/(40028-N164)</f>
        <v>857.625</v>
      </c>
      <c r="V164" s="3">
        <v>40224</v>
      </c>
      <c r="W164" t="s">
        <v>429</v>
      </c>
      <c r="X164" s="7"/>
      <c r="Y164" s="7">
        <v>105</v>
      </c>
      <c r="Z164" s="6">
        <f t="shared" si="50"/>
        <v>59714</v>
      </c>
      <c r="AA164" s="11" t="s">
        <v>10</v>
      </c>
      <c r="AB164" s="7">
        <f t="shared" si="51"/>
        <v>4265.285714285715</v>
      </c>
    </row>
    <row r="165" spans="14:28" ht="13.5">
      <c r="N165" s="3">
        <v>40021</v>
      </c>
      <c r="O165" t="s">
        <v>161</v>
      </c>
      <c r="P165" s="6"/>
      <c r="Q165" s="6">
        <f>105*2</f>
        <v>210</v>
      </c>
      <c r="R165" s="6">
        <f aca="true" t="shared" si="52" ref="R165:R176">+R164+P165-Q165</f>
        <v>6651</v>
      </c>
      <c r="S165" s="11" t="s">
        <v>136</v>
      </c>
      <c r="T165" s="7">
        <f>+R165/(40028-N165)</f>
        <v>950.1428571428571</v>
      </c>
      <c r="V165" s="3">
        <v>40224</v>
      </c>
      <c r="W165" t="s">
        <v>428</v>
      </c>
      <c r="X165" s="6"/>
      <c r="Y165" s="6">
        <v>548</v>
      </c>
      <c r="Z165" s="6">
        <f t="shared" si="50"/>
        <v>59166</v>
      </c>
      <c r="AA165" s="11" t="s">
        <v>10</v>
      </c>
      <c r="AB165" s="7">
        <f t="shared" si="51"/>
        <v>4226.142857142857</v>
      </c>
    </row>
    <row r="166" spans="14:28" ht="13.5">
      <c r="N166" s="3">
        <v>40021</v>
      </c>
      <c r="O166" t="s">
        <v>72</v>
      </c>
      <c r="P166" s="6"/>
      <c r="Q166" s="6">
        <v>996</v>
      </c>
      <c r="R166" s="6">
        <f t="shared" si="52"/>
        <v>5655</v>
      </c>
      <c r="S166" s="11" t="s">
        <v>136</v>
      </c>
      <c r="T166" s="7">
        <f>+R166/(40028-N166)</f>
        <v>807.8571428571429</v>
      </c>
      <c r="V166" s="3">
        <v>40224</v>
      </c>
      <c r="W166" t="s">
        <v>129</v>
      </c>
      <c r="X166" s="6"/>
      <c r="Y166" s="6">
        <v>198</v>
      </c>
      <c r="Z166" s="6">
        <f t="shared" si="50"/>
        <v>58968</v>
      </c>
      <c r="AA166" s="11" t="s">
        <v>10</v>
      </c>
      <c r="AB166" s="7">
        <f t="shared" si="51"/>
        <v>4212</v>
      </c>
    </row>
    <row r="167" spans="14:28" ht="13.5">
      <c r="N167" s="3">
        <v>40021</v>
      </c>
      <c r="O167" t="s">
        <v>113</v>
      </c>
      <c r="P167" s="6"/>
      <c r="Q167" s="6">
        <v>600</v>
      </c>
      <c r="R167" s="6">
        <f t="shared" si="52"/>
        <v>5055</v>
      </c>
      <c r="S167" s="11" t="s">
        <v>136</v>
      </c>
      <c r="T167" s="7">
        <f aca="true" t="shared" si="53" ref="T167:T172">+R167/(40028-N167)</f>
        <v>722.1428571428571</v>
      </c>
      <c r="V167" s="3">
        <v>40224</v>
      </c>
      <c r="W167" t="s">
        <v>543</v>
      </c>
      <c r="X167" s="7"/>
      <c r="Y167" s="7">
        <v>4680</v>
      </c>
      <c r="Z167" s="6">
        <f t="shared" si="50"/>
        <v>54288</v>
      </c>
      <c r="AA167" s="11" t="s">
        <v>10</v>
      </c>
      <c r="AB167" s="7">
        <f t="shared" si="51"/>
        <v>3877.714285714286</v>
      </c>
    </row>
    <row r="168" spans="14:28" ht="13.5">
      <c r="N168" s="3">
        <v>40021</v>
      </c>
      <c r="O168" t="s">
        <v>17</v>
      </c>
      <c r="P168" s="6">
        <v>-996</v>
      </c>
      <c r="Q168" s="6"/>
      <c r="R168" s="6">
        <f t="shared" si="52"/>
        <v>4059</v>
      </c>
      <c r="S168" s="11" t="s">
        <v>78</v>
      </c>
      <c r="T168" s="7">
        <f t="shared" si="53"/>
        <v>579.8571428571429</v>
      </c>
      <c r="V168" s="3">
        <v>40224</v>
      </c>
      <c r="W168" t="s">
        <v>567</v>
      </c>
      <c r="X168" s="6"/>
      <c r="Y168" s="6">
        <v>2310</v>
      </c>
      <c r="Z168" s="6">
        <f t="shared" si="50"/>
        <v>51978</v>
      </c>
      <c r="AA168" s="11" t="s">
        <v>10</v>
      </c>
      <c r="AB168" s="7">
        <f t="shared" si="51"/>
        <v>3712.714285714286</v>
      </c>
    </row>
    <row r="169" spans="14:28" ht="13.5">
      <c r="N169" s="3">
        <v>40021</v>
      </c>
      <c r="O169" t="s">
        <v>157</v>
      </c>
      <c r="P169" s="6"/>
      <c r="Q169" s="6">
        <f>105*2+10</f>
        <v>220</v>
      </c>
      <c r="R169" s="6">
        <f t="shared" si="52"/>
        <v>3839</v>
      </c>
      <c r="S169" s="11" t="s">
        <v>136</v>
      </c>
      <c r="T169" s="7">
        <f t="shared" si="53"/>
        <v>548.4285714285714</v>
      </c>
      <c r="V169" s="3">
        <v>40224</v>
      </c>
      <c r="W169" t="s">
        <v>370</v>
      </c>
      <c r="X169" s="6"/>
      <c r="Y169" s="6">
        <v>200</v>
      </c>
      <c r="Z169" s="6">
        <f t="shared" si="50"/>
        <v>51778</v>
      </c>
      <c r="AA169" s="11" t="s">
        <v>10</v>
      </c>
      <c r="AB169" s="7">
        <f t="shared" si="51"/>
        <v>3698.4285714285716</v>
      </c>
    </row>
    <row r="170" spans="14:28" ht="13.5">
      <c r="N170" s="3">
        <v>40021</v>
      </c>
      <c r="O170" t="s">
        <v>158</v>
      </c>
      <c r="P170" s="6"/>
      <c r="Q170" s="6">
        <f>790+80</f>
        <v>870</v>
      </c>
      <c r="R170" s="6">
        <f t="shared" si="52"/>
        <v>2969</v>
      </c>
      <c r="S170" s="11" t="s">
        <v>136</v>
      </c>
      <c r="T170" s="7">
        <f t="shared" si="53"/>
        <v>424.14285714285717</v>
      </c>
      <c r="V170" s="3">
        <v>40224</v>
      </c>
      <c r="W170" t="s">
        <v>567</v>
      </c>
      <c r="X170" s="6"/>
      <c r="Y170" s="6">
        <v>2390</v>
      </c>
      <c r="Z170" s="6">
        <f t="shared" si="50"/>
        <v>49388</v>
      </c>
      <c r="AA170" s="11" t="s">
        <v>10</v>
      </c>
      <c r="AB170" s="7">
        <f t="shared" si="51"/>
        <v>3527.714285714286</v>
      </c>
    </row>
    <row r="171" spans="14:28" ht="13.5">
      <c r="N171" s="3">
        <v>40021</v>
      </c>
      <c r="O171" t="s">
        <v>159</v>
      </c>
      <c r="P171" s="6"/>
      <c r="Q171" s="6">
        <v>100</v>
      </c>
      <c r="R171" s="6">
        <f t="shared" si="52"/>
        <v>2869</v>
      </c>
      <c r="S171" s="11" t="s">
        <v>136</v>
      </c>
      <c r="T171" s="7">
        <f t="shared" si="53"/>
        <v>409.85714285714283</v>
      </c>
      <c r="V171" s="3">
        <v>40226</v>
      </c>
      <c r="W171" t="s">
        <v>569</v>
      </c>
      <c r="X171" s="6"/>
      <c r="Y171" s="6">
        <v>314</v>
      </c>
      <c r="Z171" s="6">
        <f aca="true" t="shared" si="54" ref="Z171:Z176">+Z170+X171-Y171</f>
        <v>49074</v>
      </c>
      <c r="AA171" s="11" t="s">
        <v>10</v>
      </c>
      <c r="AB171" s="7">
        <f t="shared" si="51"/>
        <v>4089.5</v>
      </c>
    </row>
    <row r="172" spans="14:28" ht="13.5">
      <c r="N172" s="3">
        <v>40021</v>
      </c>
      <c r="O172" t="s">
        <v>160</v>
      </c>
      <c r="P172" s="6"/>
      <c r="Q172" s="6">
        <v>1510</v>
      </c>
      <c r="R172" s="6">
        <f t="shared" si="52"/>
        <v>1359</v>
      </c>
      <c r="S172" s="11" t="s">
        <v>136</v>
      </c>
      <c r="T172" s="7">
        <f t="shared" si="53"/>
        <v>194.14285714285714</v>
      </c>
      <c r="V172" s="3">
        <v>40228</v>
      </c>
      <c r="W172" t="s">
        <v>570</v>
      </c>
      <c r="X172" s="6"/>
      <c r="Y172" s="6">
        <v>105</v>
      </c>
      <c r="Z172" s="6">
        <f t="shared" si="54"/>
        <v>48969</v>
      </c>
      <c r="AA172" s="11" t="s">
        <v>10</v>
      </c>
      <c r="AB172" s="7">
        <f t="shared" si="51"/>
        <v>4896.9</v>
      </c>
    </row>
    <row r="173" spans="14:28" ht="13.5">
      <c r="N173" s="3">
        <v>40023</v>
      </c>
      <c r="O173" t="s">
        <v>693</v>
      </c>
      <c r="P173" s="6"/>
      <c r="Q173" s="6">
        <v>290</v>
      </c>
      <c r="R173" s="6">
        <f t="shared" si="52"/>
        <v>1069</v>
      </c>
      <c r="S173" s="11" t="s">
        <v>136</v>
      </c>
      <c r="T173" s="7">
        <f>+R173/(40028-N173)</f>
        <v>213.8</v>
      </c>
      <c r="V173" s="3">
        <v>40228</v>
      </c>
      <c r="W173" t="s">
        <v>124</v>
      </c>
      <c r="X173" s="6"/>
      <c r="Y173" s="6">
        <v>105</v>
      </c>
      <c r="Z173" s="6">
        <f t="shared" si="54"/>
        <v>48864</v>
      </c>
      <c r="AA173" s="11" t="s">
        <v>10</v>
      </c>
      <c r="AB173" s="7">
        <f t="shared" si="51"/>
        <v>4886.4</v>
      </c>
    </row>
    <row r="174" spans="14:28" ht="13.5">
      <c r="N174" s="3">
        <v>40023</v>
      </c>
      <c r="O174" t="s">
        <v>113</v>
      </c>
      <c r="P174" s="6"/>
      <c r="Q174" s="6">
        <v>300</v>
      </c>
      <c r="R174" s="6">
        <f t="shared" si="52"/>
        <v>769</v>
      </c>
      <c r="S174" s="11" t="s">
        <v>136</v>
      </c>
      <c r="T174" s="7">
        <f>+R174/(40028-N174)</f>
        <v>153.8</v>
      </c>
      <c r="V174" s="3">
        <v>40228</v>
      </c>
      <c r="W174" t="s">
        <v>370</v>
      </c>
      <c r="X174" s="6"/>
      <c r="Y174" s="6">
        <f>105*3</f>
        <v>315</v>
      </c>
      <c r="Z174" s="6">
        <f t="shared" si="54"/>
        <v>48549</v>
      </c>
      <c r="AA174" s="11" t="s">
        <v>10</v>
      </c>
      <c r="AB174" s="7">
        <f t="shared" si="51"/>
        <v>4854.9</v>
      </c>
    </row>
    <row r="175" spans="14:28" ht="13.5">
      <c r="N175" s="3">
        <v>40023</v>
      </c>
      <c r="O175" t="s">
        <v>101</v>
      </c>
      <c r="P175" s="6"/>
      <c r="Q175" s="6">
        <f>105*2</f>
        <v>210</v>
      </c>
      <c r="R175" s="6">
        <f t="shared" si="52"/>
        <v>559</v>
      </c>
      <c r="S175" s="11" t="s">
        <v>136</v>
      </c>
      <c r="T175" s="7">
        <f>+R175/(40028-N175)</f>
        <v>111.8</v>
      </c>
      <c r="V175" s="3">
        <v>40228</v>
      </c>
      <c r="W175" t="s">
        <v>571</v>
      </c>
      <c r="X175" s="6"/>
      <c r="Y175" s="6">
        <f>105*2</f>
        <v>210</v>
      </c>
      <c r="Z175" s="6">
        <f t="shared" si="54"/>
        <v>48339</v>
      </c>
      <c r="AA175" s="11" t="s">
        <v>10</v>
      </c>
      <c r="AB175" s="7">
        <f t="shared" si="51"/>
        <v>4833.9</v>
      </c>
    </row>
    <row r="176" spans="14:28" ht="13.5">
      <c r="N176" s="3">
        <v>40024</v>
      </c>
      <c r="O176" s="11" t="s">
        <v>406</v>
      </c>
      <c r="P176" s="15"/>
      <c r="Q176" s="15"/>
      <c r="R176" s="6">
        <f t="shared" si="52"/>
        <v>559</v>
      </c>
      <c r="S176" s="11" t="s">
        <v>102</v>
      </c>
      <c r="T176" s="7">
        <f>+R176/(40028-N176)</f>
        <v>139.75</v>
      </c>
      <c r="V176" s="3">
        <v>40228</v>
      </c>
      <c r="W176" t="s">
        <v>120</v>
      </c>
      <c r="X176" s="6"/>
      <c r="Y176" s="6">
        <v>996</v>
      </c>
      <c r="Z176" s="6">
        <f t="shared" si="54"/>
        <v>47343</v>
      </c>
      <c r="AA176" s="11" t="s">
        <v>10</v>
      </c>
      <c r="AB176" s="7">
        <f aca="true" t="shared" si="55" ref="AB176:AB197">+Z176/(40238-V176)</f>
        <v>4734.3</v>
      </c>
    </row>
    <row r="177" spans="14:28" ht="13.5">
      <c r="N177" s="3">
        <v>40024</v>
      </c>
      <c r="O177" s="11" t="s">
        <v>110</v>
      </c>
      <c r="P177" s="15">
        <v>45000</v>
      </c>
      <c r="Q177" s="15">
        <v>45000</v>
      </c>
      <c r="R177" s="6">
        <f aca="true" t="shared" si="56" ref="R177:R219">+R176+P177-Q177</f>
        <v>559</v>
      </c>
      <c r="S177" s="11" t="s">
        <v>102</v>
      </c>
      <c r="T177" s="7">
        <f>+R177/(40028-N177)</f>
        <v>139.75</v>
      </c>
      <c r="V177" s="3">
        <v>40228</v>
      </c>
      <c r="W177" t="s">
        <v>568</v>
      </c>
      <c r="X177" s="6"/>
      <c r="Y177" s="6">
        <v>2536</v>
      </c>
      <c r="Z177" s="6">
        <f>+Z176+X177-Y177</f>
        <v>44807</v>
      </c>
      <c r="AA177" s="11" t="s">
        <v>10</v>
      </c>
      <c r="AB177" s="7">
        <f t="shared" si="55"/>
        <v>4480.7</v>
      </c>
    </row>
    <row r="178" spans="14:28" ht="13.5">
      <c r="N178" s="3">
        <v>40024</v>
      </c>
      <c r="O178" s="11" t="s">
        <v>177</v>
      </c>
      <c r="P178" s="15"/>
      <c r="Q178" s="15">
        <v>559</v>
      </c>
      <c r="R178" s="6">
        <f t="shared" si="56"/>
        <v>0</v>
      </c>
      <c r="S178" s="11" t="s">
        <v>136</v>
      </c>
      <c r="T178" s="7">
        <f aca="true" t="shared" si="57" ref="T178:T193">+R178/(40057-N178)</f>
        <v>0</v>
      </c>
      <c r="V178" s="3">
        <v>40230</v>
      </c>
      <c r="W178" t="s">
        <v>564</v>
      </c>
      <c r="X178" s="6"/>
      <c r="Y178" s="6">
        <v>5000</v>
      </c>
      <c r="Z178" s="6">
        <f aca="true" t="shared" si="58" ref="Z178:Z185">+Z177+X178-Y178</f>
        <v>39807</v>
      </c>
      <c r="AA178" s="11" t="s">
        <v>10</v>
      </c>
      <c r="AB178" s="7">
        <f t="shared" si="55"/>
        <v>4975.875</v>
      </c>
    </row>
    <row r="179" spans="14:28" ht="13.5">
      <c r="N179" s="3">
        <v>40027</v>
      </c>
      <c r="O179" t="s">
        <v>176</v>
      </c>
      <c r="P179" s="6"/>
      <c r="Q179" s="6">
        <v>-12055</v>
      </c>
      <c r="R179" s="6">
        <f t="shared" si="56"/>
        <v>12055</v>
      </c>
      <c r="S179" s="11" t="s">
        <v>136</v>
      </c>
      <c r="T179" s="7">
        <f t="shared" si="57"/>
        <v>401.8333333333333</v>
      </c>
      <c r="V179" s="3">
        <v>40230</v>
      </c>
      <c r="W179" t="s">
        <v>572</v>
      </c>
      <c r="X179" s="7">
        <v>100000</v>
      </c>
      <c r="Y179" s="7"/>
      <c r="Z179" s="6">
        <f t="shared" si="58"/>
        <v>139807</v>
      </c>
      <c r="AA179" s="11" t="s">
        <v>10</v>
      </c>
      <c r="AB179" s="7">
        <f t="shared" si="55"/>
        <v>17475.875</v>
      </c>
    </row>
    <row r="180" spans="14:28" ht="13.5">
      <c r="N180" s="3">
        <v>40028</v>
      </c>
      <c r="O180" t="s">
        <v>29</v>
      </c>
      <c r="P180" s="6">
        <v>42000</v>
      </c>
      <c r="Q180" s="6"/>
      <c r="R180" s="6">
        <f t="shared" si="56"/>
        <v>54055</v>
      </c>
      <c r="S180" s="11" t="s">
        <v>136</v>
      </c>
      <c r="T180" s="7">
        <f t="shared" si="57"/>
        <v>1863.9655172413793</v>
      </c>
      <c r="V180" s="3">
        <v>40230</v>
      </c>
      <c r="W180" t="s">
        <v>536</v>
      </c>
      <c r="X180" s="7"/>
      <c r="Y180" s="7">
        <f>59800+12800+1050+1050</f>
        <v>74700</v>
      </c>
      <c r="Z180" s="6">
        <f t="shared" si="58"/>
        <v>65107</v>
      </c>
      <c r="AA180" s="11" t="s">
        <v>10</v>
      </c>
      <c r="AB180" s="7">
        <f t="shared" si="55"/>
        <v>8138.375</v>
      </c>
    </row>
    <row r="181" spans="14:28" ht="13.5">
      <c r="N181" s="3">
        <v>40028</v>
      </c>
      <c r="O181" t="s">
        <v>113</v>
      </c>
      <c r="P181" s="6"/>
      <c r="Q181" s="6">
        <f>300*5+160</f>
        <v>1660</v>
      </c>
      <c r="R181" s="6">
        <f t="shared" si="56"/>
        <v>52395</v>
      </c>
      <c r="S181" s="11" t="s">
        <v>136</v>
      </c>
      <c r="T181" s="7">
        <f t="shared" si="57"/>
        <v>1806.7241379310344</v>
      </c>
      <c r="V181" s="3">
        <v>40230</v>
      </c>
      <c r="W181" t="s">
        <v>535</v>
      </c>
      <c r="X181" s="7"/>
      <c r="Y181" s="7">
        <f>1200+2780+1995</f>
        <v>5975</v>
      </c>
      <c r="Z181" s="6">
        <f t="shared" si="58"/>
        <v>59132</v>
      </c>
      <c r="AA181" s="11" t="s">
        <v>10</v>
      </c>
      <c r="AB181" s="7">
        <f t="shared" si="55"/>
        <v>7391.5</v>
      </c>
    </row>
    <row r="182" spans="14:28" ht="13.5">
      <c r="N182" s="3">
        <v>40028</v>
      </c>
      <c r="O182" t="s">
        <v>180</v>
      </c>
      <c r="P182" s="6"/>
      <c r="Q182" s="6">
        <v>840</v>
      </c>
      <c r="R182" s="6">
        <f t="shared" si="56"/>
        <v>51555</v>
      </c>
      <c r="S182" s="11" t="s">
        <v>136</v>
      </c>
      <c r="T182" s="7">
        <f t="shared" si="57"/>
        <v>1777.7586206896551</v>
      </c>
      <c r="V182" s="3">
        <v>40230</v>
      </c>
      <c r="W182" t="s">
        <v>574</v>
      </c>
      <c r="X182" s="7"/>
      <c r="Y182" s="7">
        <f>3385-796</f>
        <v>2589</v>
      </c>
      <c r="Z182" s="6">
        <f t="shared" si="58"/>
        <v>56543</v>
      </c>
      <c r="AA182" s="11" t="s">
        <v>10</v>
      </c>
      <c r="AB182" s="7">
        <f t="shared" si="55"/>
        <v>7067.875</v>
      </c>
    </row>
    <row r="183" spans="14:28" ht="13.5">
      <c r="N183" s="3">
        <v>40028</v>
      </c>
      <c r="O183" t="s">
        <v>17</v>
      </c>
      <c r="P183" s="6"/>
      <c r="Q183" s="6">
        <v>996</v>
      </c>
      <c r="R183" s="6">
        <f t="shared" si="56"/>
        <v>50559</v>
      </c>
      <c r="S183" s="11" t="s">
        <v>136</v>
      </c>
      <c r="T183" s="7">
        <f t="shared" si="57"/>
        <v>1743.4137931034484</v>
      </c>
      <c r="V183" s="3">
        <v>40230</v>
      </c>
      <c r="W183" t="s">
        <v>369</v>
      </c>
      <c r="X183" s="7"/>
      <c r="Y183" s="7">
        <v>796</v>
      </c>
      <c r="Z183" s="6">
        <f t="shared" si="58"/>
        <v>55747</v>
      </c>
      <c r="AA183" s="11" t="s">
        <v>10</v>
      </c>
      <c r="AB183" s="7">
        <f t="shared" si="55"/>
        <v>6968.375</v>
      </c>
    </row>
    <row r="184" spans="14:28" ht="13.5">
      <c r="N184" s="3">
        <v>40028</v>
      </c>
      <c r="O184" t="s">
        <v>187</v>
      </c>
      <c r="P184" s="6"/>
      <c r="Q184" s="6">
        <v>409</v>
      </c>
      <c r="R184" s="6">
        <f t="shared" si="56"/>
        <v>50150</v>
      </c>
      <c r="S184" s="11" t="s">
        <v>136</v>
      </c>
      <c r="T184" s="7">
        <f t="shared" si="57"/>
        <v>1729.3103448275863</v>
      </c>
      <c r="V184" s="3">
        <v>40230</v>
      </c>
      <c r="W184" t="s">
        <v>49</v>
      </c>
      <c r="X184" s="7"/>
      <c r="Y184" s="7">
        <v>523</v>
      </c>
      <c r="Z184" s="6">
        <f t="shared" si="58"/>
        <v>55224</v>
      </c>
      <c r="AA184" s="11" t="s">
        <v>10</v>
      </c>
      <c r="AB184" s="7">
        <f t="shared" si="55"/>
        <v>6903</v>
      </c>
    </row>
    <row r="185" spans="14:28" ht="13.5">
      <c r="N185" s="3">
        <v>40028</v>
      </c>
      <c r="O185" t="s">
        <v>156</v>
      </c>
      <c r="P185" s="6"/>
      <c r="Q185" s="6">
        <v>2320</v>
      </c>
      <c r="R185" s="6">
        <f t="shared" si="56"/>
        <v>47830</v>
      </c>
      <c r="S185" s="11" t="s">
        <v>136</v>
      </c>
      <c r="T185" s="7">
        <f t="shared" si="57"/>
        <v>1649.3103448275863</v>
      </c>
      <c r="V185" s="3">
        <v>40230</v>
      </c>
      <c r="W185" t="s">
        <v>575</v>
      </c>
      <c r="X185" s="7"/>
      <c r="Y185" s="7">
        <v>6250</v>
      </c>
      <c r="Z185" s="6">
        <f t="shared" si="58"/>
        <v>48974</v>
      </c>
      <c r="AA185" s="11" t="s">
        <v>10</v>
      </c>
      <c r="AB185" s="7">
        <f t="shared" si="55"/>
        <v>6121.75</v>
      </c>
    </row>
    <row r="186" spans="14:28" ht="13.5">
      <c r="N186" s="3">
        <v>40028</v>
      </c>
      <c r="O186" t="s">
        <v>186</v>
      </c>
      <c r="P186" s="6"/>
      <c r="Q186" s="6">
        <v>210</v>
      </c>
      <c r="R186" s="6">
        <f t="shared" si="56"/>
        <v>47620</v>
      </c>
      <c r="S186" s="11" t="s">
        <v>136</v>
      </c>
      <c r="T186" s="7">
        <f t="shared" si="57"/>
        <v>1642.0689655172414</v>
      </c>
      <c r="V186" s="3">
        <v>40230</v>
      </c>
      <c r="W186" t="s">
        <v>217</v>
      </c>
      <c r="X186" s="7"/>
      <c r="Y186" s="7">
        <f>5444-424</f>
        <v>5020</v>
      </c>
      <c r="Z186" s="6">
        <f aca="true" t="shared" si="59" ref="Z186:Z195">+Z185+X186-Y186</f>
        <v>43954</v>
      </c>
      <c r="AA186" s="11" t="s">
        <v>10</v>
      </c>
      <c r="AB186" s="7">
        <f t="shared" si="55"/>
        <v>5494.25</v>
      </c>
    </row>
    <row r="187" spans="14:28" ht="13.5">
      <c r="N187" s="3">
        <v>40028</v>
      </c>
      <c r="O187" t="s">
        <v>181</v>
      </c>
      <c r="P187" s="6"/>
      <c r="Q187" s="6">
        <f>3384-680</f>
        <v>2704</v>
      </c>
      <c r="R187" s="6">
        <f t="shared" si="56"/>
        <v>44916</v>
      </c>
      <c r="S187" s="11" t="s">
        <v>136</v>
      </c>
      <c r="T187" s="7">
        <f t="shared" si="57"/>
        <v>1548.8275862068965</v>
      </c>
      <c r="V187" s="3">
        <v>40231</v>
      </c>
      <c r="W187" t="s">
        <v>43</v>
      </c>
      <c r="X187" s="7"/>
      <c r="Y187" s="7">
        <v>10900</v>
      </c>
      <c r="Z187" s="6">
        <f t="shared" si="59"/>
        <v>33054</v>
      </c>
      <c r="AA187" s="11" t="s">
        <v>10</v>
      </c>
      <c r="AB187" s="7">
        <f t="shared" si="55"/>
        <v>4722</v>
      </c>
    </row>
    <row r="188" spans="14:28" ht="13.5">
      <c r="N188" s="3">
        <v>40028</v>
      </c>
      <c r="O188" t="s">
        <v>182</v>
      </c>
      <c r="P188" s="6"/>
      <c r="Q188" s="6">
        <v>680</v>
      </c>
      <c r="R188" s="6">
        <f t="shared" si="56"/>
        <v>44236</v>
      </c>
      <c r="S188" s="11" t="s">
        <v>136</v>
      </c>
      <c r="T188" s="7">
        <f t="shared" si="57"/>
        <v>1525.3793103448277</v>
      </c>
      <c r="V188" s="3">
        <v>40231</v>
      </c>
      <c r="W188" t="s">
        <v>369</v>
      </c>
      <c r="X188" s="6"/>
      <c r="Y188" s="6">
        <v>996</v>
      </c>
      <c r="Z188" s="6">
        <f t="shared" si="59"/>
        <v>32058</v>
      </c>
      <c r="AA188" s="11" t="s">
        <v>10</v>
      </c>
      <c r="AB188" s="7">
        <f t="shared" si="55"/>
        <v>4579.714285714285</v>
      </c>
    </row>
    <row r="189" spans="14:28" ht="13.5">
      <c r="N189" s="3">
        <v>40028</v>
      </c>
      <c r="O189" t="s">
        <v>185</v>
      </c>
      <c r="P189" s="6"/>
      <c r="Q189" s="6">
        <v>1095</v>
      </c>
      <c r="R189" s="6">
        <f t="shared" si="56"/>
        <v>43141</v>
      </c>
      <c r="S189" s="11" t="s">
        <v>136</v>
      </c>
      <c r="T189" s="7">
        <f t="shared" si="57"/>
        <v>1487.6206896551723</v>
      </c>
      <c r="V189" s="3">
        <v>40231</v>
      </c>
      <c r="W189" t="s">
        <v>429</v>
      </c>
      <c r="X189" s="6"/>
      <c r="Y189" s="6">
        <v>158</v>
      </c>
      <c r="Z189" s="6">
        <f t="shared" si="59"/>
        <v>31900</v>
      </c>
      <c r="AA189" s="11" t="s">
        <v>10</v>
      </c>
      <c r="AB189" s="7">
        <f t="shared" si="55"/>
        <v>4557.142857142857</v>
      </c>
    </row>
    <row r="190" spans="14:28" ht="13.5">
      <c r="N190" s="3">
        <v>40028</v>
      </c>
      <c r="O190" t="s">
        <v>184</v>
      </c>
      <c r="P190" s="6"/>
      <c r="Q190" s="6">
        <v>1500</v>
      </c>
      <c r="R190" s="6">
        <f t="shared" si="56"/>
        <v>41641</v>
      </c>
      <c r="S190" s="11" t="s">
        <v>136</v>
      </c>
      <c r="T190" s="7">
        <f t="shared" si="57"/>
        <v>1435.896551724138</v>
      </c>
      <c r="V190" s="3">
        <v>40231</v>
      </c>
      <c r="W190" t="s">
        <v>124</v>
      </c>
      <c r="X190" s="6"/>
      <c r="Y190" s="6">
        <f>105*2</f>
        <v>210</v>
      </c>
      <c r="Z190" s="6">
        <f t="shared" si="59"/>
        <v>31690</v>
      </c>
      <c r="AA190" s="11" t="s">
        <v>10</v>
      </c>
      <c r="AB190" s="7">
        <f t="shared" si="55"/>
        <v>4527.142857142857</v>
      </c>
    </row>
    <row r="191" spans="14:28" ht="13.5">
      <c r="N191" s="3">
        <v>40028</v>
      </c>
      <c r="O191" t="s">
        <v>183</v>
      </c>
      <c r="P191" s="6"/>
      <c r="Q191" s="6">
        <v>140</v>
      </c>
      <c r="R191" s="6">
        <f t="shared" si="56"/>
        <v>41501</v>
      </c>
      <c r="S191" s="11" t="s">
        <v>136</v>
      </c>
      <c r="T191" s="7">
        <f t="shared" si="57"/>
        <v>1431.0689655172414</v>
      </c>
      <c r="V191" s="3">
        <v>40231</v>
      </c>
      <c r="W191" t="s">
        <v>370</v>
      </c>
      <c r="X191" s="6"/>
      <c r="Y191" s="6">
        <v>95</v>
      </c>
      <c r="Z191" s="6">
        <f t="shared" si="59"/>
        <v>31595</v>
      </c>
      <c r="AA191" s="11" t="s">
        <v>10</v>
      </c>
      <c r="AB191" s="7">
        <f t="shared" si="55"/>
        <v>4513.571428571428</v>
      </c>
    </row>
    <row r="192" spans="14:28" ht="13.5">
      <c r="N192" s="3">
        <v>40030</v>
      </c>
      <c r="O192" t="s">
        <v>189</v>
      </c>
      <c r="P192" s="6"/>
      <c r="Q192" s="6">
        <v>3255</v>
      </c>
      <c r="R192" s="6">
        <f t="shared" si="56"/>
        <v>38246</v>
      </c>
      <c r="S192" s="11" t="s">
        <v>136</v>
      </c>
      <c r="T192" s="7">
        <f t="shared" si="57"/>
        <v>1416.5185185185185</v>
      </c>
      <c r="V192" s="3">
        <v>40231</v>
      </c>
      <c r="W192" t="s">
        <v>101</v>
      </c>
      <c r="X192" s="7"/>
      <c r="Y192" s="7">
        <v>120</v>
      </c>
      <c r="Z192" s="6">
        <f t="shared" si="59"/>
        <v>31475</v>
      </c>
      <c r="AA192" s="11" t="s">
        <v>10</v>
      </c>
      <c r="AB192" s="7">
        <f t="shared" si="55"/>
        <v>4496.428571428572</v>
      </c>
    </row>
    <row r="193" spans="14:28" ht="13.5">
      <c r="N193" s="3">
        <v>40030</v>
      </c>
      <c r="O193" t="s">
        <v>190</v>
      </c>
      <c r="P193" s="6"/>
      <c r="Q193" s="6">
        <v>910</v>
      </c>
      <c r="R193" s="6">
        <f t="shared" si="56"/>
        <v>37336</v>
      </c>
      <c r="S193" s="11" t="s">
        <v>136</v>
      </c>
      <c r="T193" s="7">
        <f t="shared" si="57"/>
        <v>1382.8148148148148</v>
      </c>
      <c r="V193" s="3">
        <v>40233</v>
      </c>
      <c r="W193" t="s">
        <v>578</v>
      </c>
      <c r="X193" s="7"/>
      <c r="Y193" s="7">
        <v>1200</v>
      </c>
      <c r="Z193" s="6">
        <f t="shared" si="59"/>
        <v>30275</v>
      </c>
      <c r="AA193" s="11" t="s">
        <v>10</v>
      </c>
      <c r="AB193" s="7">
        <f t="shared" si="55"/>
        <v>6055</v>
      </c>
    </row>
    <row r="194" spans="14:28" ht="13.5">
      <c r="N194" s="3">
        <v>40030</v>
      </c>
      <c r="O194" t="s">
        <v>194</v>
      </c>
      <c r="P194" s="6"/>
      <c r="Q194" s="6">
        <v>585</v>
      </c>
      <c r="R194" s="6">
        <f t="shared" si="56"/>
        <v>36751</v>
      </c>
      <c r="S194" s="11" t="s">
        <v>136</v>
      </c>
      <c r="T194" s="7">
        <f aca="true" t="shared" si="60" ref="T194:T219">+R194/(40057-N194)</f>
        <v>1361.148148148148</v>
      </c>
      <c r="V194" s="3">
        <v>40233</v>
      </c>
      <c r="W194" t="s">
        <v>370</v>
      </c>
      <c r="X194" s="7"/>
      <c r="Y194" s="7">
        <v>406</v>
      </c>
      <c r="Z194" s="6">
        <f t="shared" si="59"/>
        <v>29869</v>
      </c>
      <c r="AA194" s="11" t="s">
        <v>10</v>
      </c>
      <c r="AB194" s="7">
        <f t="shared" si="55"/>
        <v>5973.8</v>
      </c>
    </row>
    <row r="195" spans="14:28" ht="13.5">
      <c r="N195" s="3">
        <v>40030</v>
      </c>
      <c r="O195" t="s">
        <v>191</v>
      </c>
      <c r="P195" s="6"/>
      <c r="Q195" s="6">
        <v>525</v>
      </c>
      <c r="R195" s="6">
        <f t="shared" si="56"/>
        <v>36226</v>
      </c>
      <c r="S195" s="11" t="s">
        <v>136</v>
      </c>
      <c r="T195" s="7">
        <f t="shared" si="60"/>
        <v>1341.7037037037037</v>
      </c>
      <c r="V195" s="3">
        <v>40235</v>
      </c>
      <c r="W195" t="s">
        <v>370</v>
      </c>
      <c r="X195" s="7"/>
      <c r="Y195" s="7">
        <v>525</v>
      </c>
      <c r="Z195" s="6">
        <f t="shared" si="59"/>
        <v>29344</v>
      </c>
      <c r="AA195" s="11" t="s">
        <v>10</v>
      </c>
      <c r="AB195" s="7">
        <f t="shared" si="55"/>
        <v>9781.333333333334</v>
      </c>
    </row>
    <row r="196" spans="14:28" ht="13.5">
      <c r="N196" s="3">
        <v>40030</v>
      </c>
      <c r="O196" t="s">
        <v>192</v>
      </c>
      <c r="P196" s="6"/>
      <c r="Q196" s="6">
        <v>209</v>
      </c>
      <c r="R196" s="6">
        <f t="shared" si="56"/>
        <v>36017</v>
      </c>
      <c r="S196" s="11" t="s">
        <v>136</v>
      </c>
      <c r="T196" s="7">
        <f t="shared" si="60"/>
        <v>1333.962962962963</v>
      </c>
      <c r="V196" s="3">
        <v>40235</v>
      </c>
      <c r="W196" t="s">
        <v>580</v>
      </c>
      <c r="X196" s="7"/>
      <c r="Y196" s="7">
        <v>18900</v>
      </c>
      <c r="Z196" s="6">
        <f>+Z195+X196-Y196</f>
        <v>10444</v>
      </c>
      <c r="AA196" s="11" t="s">
        <v>10</v>
      </c>
      <c r="AB196" s="7">
        <f t="shared" si="55"/>
        <v>3481.3333333333335</v>
      </c>
    </row>
    <row r="197" spans="14:28" ht="13.5">
      <c r="N197" s="3">
        <v>40030</v>
      </c>
      <c r="O197" t="s">
        <v>193</v>
      </c>
      <c r="P197" s="6"/>
      <c r="Q197" s="6">
        <v>105</v>
      </c>
      <c r="R197" s="6">
        <f t="shared" si="56"/>
        <v>35912</v>
      </c>
      <c r="S197" s="11" t="s">
        <v>136</v>
      </c>
      <c r="T197" s="7">
        <f t="shared" si="60"/>
        <v>1330.0740740740741</v>
      </c>
      <c r="V197" s="3">
        <v>40235</v>
      </c>
      <c r="W197" t="s">
        <v>101</v>
      </c>
      <c r="X197" s="7"/>
      <c r="Y197" s="7">
        <v>120</v>
      </c>
      <c r="Z197" s="6">
        <f>+Z196+X197-Y197</f>
        <v>10324</v>
      </c>
      <c r="AA197" s="11" t="s">
        <v>10</v>
      </c>
      <c r="AB197" s="7">
        <f t="shared" si="55"/>
        <v>3441.3333333333335</v>
      </c>
    </row>
    <row r="198" spans="14:28" ht="13.5">
      <c r="N198" s="3">
        <v>40030</v>
      </c>
      <c r="O198" t="s">
        <v>101</v>
      </c>
      <c r="P198" s="6"/>
      <c r="Q198" s="6">
        <v>210</v>
      </c>
      <c r="R198" s="6">
        <f t="shared" si="56"/>
        <v>35702</v>
      </c>
      <c r="S198" s="11" t="s">
        <v>136</v>
      </c>
      <c r="T198" s="7">
        <f t="shared" si="60"/>
        <v>1322.2962962962963</v>
      </c>
      <c r="V198" s="3">
        <v>40238</v>
      </c>
      <c r="W198" t="s">
        <v>29</v>
      </c>
      <c r="X198" s="7">
        <v>46000</v>
      </c>
      <c r="Z198" s="6">
        <f>+Z197+X198-Y198</f>
        <v>56324</v>
      </c>
      <c r="AA198" s="11" t="s">
        <v>10</v>
      </c>
      <c r="AB198" s="7">
        <f>+Z198/(40269-V198)</f>
        <v>1816.9032258064517</v>
      </c>
    </row>
    <row r="199" spans="14:28" ht="13.5">
      <c r="N199" s="3">
        <v>40030</v>
      </c>
      <c r="O199" t="s">
        <v>195</v>
      </c>
      <c r="P199" s="6"/>
      <c r="Q199" s="6">
        <v>700</v>
      </c>
      <c r="R199" s="6">
        <f t="shared" si="56"/>
        <v>35002</v>
      </c>
      <c r="S199" s="11" t="s">
        <v>136</v>
      </c>
      <c r="T199" s="7">
        <f t="shared" si="60"/>
        <v>1296.3703703703704</v>
      </c>
      <c r="V199" s="3">
        <v>40238</v>
      </c>
      <c r="W199" t="s">
        <v>584</v>
      </c>
      <c r="X199" s="6"/>
      <c r="Y199" s="6">
        <f>300*10</f>
        <v>3000</v>
      </c>
      <c r="Z199" s="6">
        <f>+Z198+X199-Y199</f>
        <v>53324</v>
      </c>
      <c r="AA199" s="11" t="s">
        <v>10</v>
      </c>
      <c r="AB199" s="7">
        <f>+Z199/(40269-V199)</f>
        <v>1720.1290322580646</v>
      </c>
    </row>
    <row r="200" spans="14:28" ht="13.5">
      <c r="N200" s="3">
        <v>40031</v>
      </c>
      <c r="O200" t="s">
        <v>196</v>
      </c>
      <c r="P200" s="6"/>
      <c r="Q200" s="6">
        <f>300*3</f>
        <v>900</v>
      </c>
      <c r="R200" s="6">
        <f t="shared" si="56"/>
        <v>34102</v>
      </c>
      <c r="S200" s="11" t="s">
        <v>136</v>
      </c>
      <c r="T200" s="7">
        <f t="shared" si="60"/>
        <v>1311.6153846153845</v>
      </c>
      <c r="V200" s="3">
        <v>40238</v>
      </c>
      <c r="W200" t="s">
        <v>107</v>
      </c>
      <c r="X200" s="6"/>
      <c r="Y200" s="6">
        <v>750</v>
      </c>
      <c r="Z200" s="6">
        <f>+Z199+X200-Y200</f>
        <v>52574</v>
      </c>
      <c r="AA200" s="11" t="s">
        <v>10</v>
      </c>
      <c r="AB200" s="7">
        <f>+Z200/(40269-V200)</f>
        <v>1695.9354838709678</v>
      </c>
    </row>
    <row r="201" spans="14:28" ht="13.5">
      <c r="N201" s="3">
        <v>40031</v>
      </c>
      <c r="O201" t="s">
        <v>197</v>
      </c>
      <c r="P201" s="6"/>
      <c r="Q201" s="6">
        <v>360</v>
      </c>
      <c r="R201" s="6">
        <f t="shared" si="56"/>
        <v>33742</v>
      </c>
      <c r="S201" s="11" t="s">
        <v>136</v>
      </c>
      <c r="T201" s="7">
        <f t="shared" si="60"/>
        <v>1297.7692307692307</v>
      </c>
      <c r="V201" s="3">
        <v>40238</v>
      </c>
      <c r="W201" t="s">
        <v>17</v>
      </c>
      <c r="X201" s="6"/>
      <c r="Y201" s="6">
        <v>996</v>
      </c>
      <c r="Z201" s="6">
        <f aca="true" t="shared" si="61" ref="Z201:Z210">+Z200+X201-Y201</f>
        <v>51578</v>
      </c>
      <c r="AA201" s="11" t="s">
        <v>10</v>
      </c>
      <c r="AB201" s="7">
        <f aca="true" t="shared" si="62" ref="AB201:AB211">+Z201/(40269-V201)</f>
        <v>1663.8064516129032</v>
      </c>
    </row>
    <row r="202" spans="14:28" ht="13.5">
      <c r="N202" s="3">
        <v>40031</v>
      </c>
      <c r="O202" t="s">
        <v>65</v>
      </c>
      <c r="P202" s="6"/>
      <c r="Q202" s="6">
        <v>250</v>
      </c>
      <c r="R202" s="6">
        <f t="shared" si="56"/>
        <v>33492</v>
      </c>
      <c r="S202" s="11" t="s">
        <v>136</v>
      </c>
      <c r="T202" s="7">
        <f t="shared" si="60"/>
        <v>1288.1538461538462</v>
      </c>
      <c r="V202" s="3">
        <v>40238</v>
      </c>
      <c r="W202" t="s">
        <v>585</v>
      </c>
      <c r="X202" s="6"/>
      <c r="Y202" s="6">
        <v>100</v>
      </c>
      <c r="Z202" s="6">
        <f t="shared" si="61"/>
        <v>51478</v>
      </c>
      <c r="AA202" s="11" t="s">
        <v>10</v>
      </c>
      <c r="AB202" s="7">
        <f t="shared" si="62"/>
        <v>1660.5806451612902</v>
      </c>
    </row>
    <row r="203" spans="14:28" ht="13.5">
      <c r="N203" s="3">
        <v>40031</v>
      </c>
      <c r="O203" t="s">
        <v>50</v>
      </c>
      <c r="P203" s="6"/>
      <c r="Q203" s="6">
        <f>-400-50-350-40</f>
        <v>-840</v>
      </c>
      <c r="R203" s="6">
        <f t="shared" si="56"/>
        <v>34332</v>
      </c>
      <c r="S203" s="11" t="s">
        <v>136</v>
      </c>
      <c r="T203" s="7">
        <f t="shared" si="60"/>
        <v>1320.4615384615386</v>
      </c>
      <c r="V203" s="3">
        <v>40238</v>
      </c>
      <c r="W203" t="s">
        <v>123</v>
      </c>
      <c r="X203" s="6"/>
      <c r="Y203" s="6">
        <v>105</v>
      </c>
      <c r="Z203" s="6">
        <f t="shared" si="61"/>
        <v>51373</v>
      </c>
      <c r="AA203" s="11" t="s">
        <v>10</v>
      </c>
      <c r="AB203" s="7">
        <f t="shared" si="62"/>
        <v>1657.1935483870968</v>
      </c>
    </row>
    <row r="204" spans="14:28" ht="13.5">
      <c r="N204" s="3">
        <v>40032</v>
      </c>
      <c r="O204" t="s">
        <v>198</v>
      </c>
      <c r="P204" s="6"/>
      <c r="Q204" s="6">
        <v>6132</v>
      </c>
      <c r="R204" s="6">
        <f t="shared" si="56"/>
        <v>28200</v>
      </c>
      <c r="S204" s="11" t="s">
        <v>136</v>
      </c>
      <c r="T204" s="7">
        <f t="shared" si="60"/>
        <v>1128</v>
      </c>
      <c r="V204" s="3">
        <v>40238</v>
      </c>
      <c r="W204" t="s">
        <v>124</v>
      </c>
      <c r="X204" s="6"/>
      <c r="Y204" s="6">
        <v>105</v>
      </c>
      <c r="Z204" s="6">
        <f t="shared" si="61"/>
        <v>51268</v>
      </c>
      <c r="AA204" s="11" t="s">
        <v>10</v>
      </c>
      <c r="AB204" s="7">
        <f t="shared" si="62"/>
        <v>1653.8064516129032</v>
      </c>
    </row>
    <row r="205" spans="14:28" ht="13.5">
      <c r="N205" s="3">
        <v>40032</v>
      </c>
      <c r="O205" t="s">
        <v>113</v>
      </c>
      <c r="P205" s="6"/>
      <c r="Q205" s="6">
        <f>140*40</f>
        <v>5600</v>
      </c>
      <c r="R205" s="6">
        <f t="shared" si="56"/>
        <v>22600</v>
      </c>
      <c r="S205" s="11" t="s">
        <v>136</v>
      </c>
      <c r="T205" s="7">
        <f t="shared" si="60"/>
        <v>904</v>
      </c>
      <c r="V205" s="3">
        <v>40238</v>
      </c>
      <c r="W205" t="s">
        <v>586</v>
      </c>
      <c r="X205" s="6"/>
      <c r="Y205" s="6">
        <v>504</v>
      </c>
      <c r="Z205" s="6">
        <f t="shared" si="61"/>
        <v>50764</v>
      </c>
      <c r="AA205" s="11" t="s">
        <v>10</v>
      </c>
      <c r="AB205" s="7">
        <f t="shared" si="62"/>
        <v>1637.5483870967741</v>
      </c>
    </row>
    <row r="206" spans="14:28" ht="13.5">
      <c r="N206" s="3">
        <v>40032</v>
      </c>
      <c r="O206" t="s">
        <v>199</v>
      </c>
      <c r="P206" s="6"/>
      <c r="Q206" s="6">
        <v>960</v>
      </c>
      <c r="R206" s="6">
        <f t="shared" si="56"/>
        <v>21640</v>
      </c>
      <c r="S206" s="11" t="s">
        <v>136</v>
      </c>
      <c r="T206" s="7">
        <f t="shared" si="60"/>
        <v>865.6</v>
      </c>
      <c r="V206" s="3">
        <v>40238</v>
      </c>
      <c r="W206" t="s">
        <v>101</v>
      </c>
      <c r="Y206" s="6">
        <v>120</v>
      </c>
      <c r="Z206" s="6">
        <f t="shared" si="61"/>
        <v>50644</v>
      </c>
      <c r="AA206" s="11" t="s">
        <v>10</v>
      </c>
      <c r="AB206" s="7">
        <f t="shared" si="62"/>
        <v>1633.6774193548388</v>
      </c>
    </row>
    <row r="207" spans="14:28" ht="13.5">
      <c r="N207" s="3">
        <v>40032</v>
      </c>
      <c r="O207" t="s">
        <v>200</v>
      </c>
      <c r="P207" s="6"/>
      <c r="Q207" s="6">
        <v>366</v>
      </c>
      <c r="R207" s="6">
        <f t="shared" si="56"/>
        <v>21274</v>
      </c>
      <c r="S207" s="11" t="s">
        <v>136</v>
      </c>
      <c r="T207" s="7">
        <f t="shared" si="60"/>
        <v>850.96</v>
      </c>
      <c r="V207" s="3">
        <v>40238</v>
      </c>
      <c r="W207" t="s">
        <v>582</v>
      </c>
      <c r="Y207" s="6">
        <f>3235+120</f>
        <v>3355</v>
      </c>
      <c r="Z207" s="6">
        <f t="shared" si="61"/>
        <v>47289</v>
      </c>
      <c r="AA207" s="11" t="s">
        <v>10</v>
      </c>
      <c r="AB207" s="7">
        <f t="shared" si="62"/>
        <v>1525.4516129032259</v>
      </c>
    </row>
    <row r="208" spans="14:28" ht="13.5">
      <c r="N208" s="3">
        <v>40032</v>
      </c>
      <c r="O208" t="s">
        <v>113</v>
      </c>
      <c r="P208" s="6"/>
      <c r="Q208" s="6">
        <v>300</v>
      </c>
      <c r="R208" s="6">
        <f t="shared" si="56"/>
        <v>20974</v>
      </c>
      <c r="S208" s="11" t="s">
        <v>136</v>
      </c>
      <c r="T208" s="7">
        <f t="shared" si="60"/>
        <v>838.96</v>
      </c>
      <c r="V208" s="3">
        <v>40238</v>
      </c>
      <c r="W208" t="s">
        <v>26</v>
      </c>
      <c r="X208" s="7"/>
      <c r="Y208" s="7">
        <v>4410</v>
      </c>
      <c r="Z208" s="6">
        <f t="shared" si="61"/>
        <v>42879</v>
      </c>
      <c r="AA208" s="11" t="s">
        <v>10</v>
      </c>
      <c r="AB208" s="7">
        <f t="shared" si="62"/>
        <v>1383.1935483870968</v>
      </c>
    </row>
    <row r="209" spans="14:28" ht="13.5">
      <c r="N209" s="3">
        <v>40032</v>
      </c>
      <c r="O209" t="s">
        <v>63</v>
      </c>
      <c r="P209" s="6"/>
      <c r="Q209" s="6">
        <v>280</v>
      </c>
      <c r="R209" s="6">
        <f t="shared" si="56"/>
        <v>20694</v>
      </c>
      <c r="S209" s="11" t="s">
        <v>136</v>
      </c>
      <c r="T209" s="7">
        <f t="shared" si="60"/>
        <v>827.76</v>
      </c>
      <c r="V209" s="3">
        <v>40240</v>
      </c>
      <c r="W209" t="s">
        <v>588</v>
      </c>
      <c r="Y209" s="7">
        <v>2229</v>
      </c>
      <c r="Z209" s="6">
        <f t="shared" si="61"/>
        <v>40650</v>
      </c>
      <c r="AA209" s="11" t="s">
        <v>10</v>
      </c>
      <c r="AB209" s="7">
        <f t="shared" si="62"/>
        <v>1401.7241379310344</v>
      </c>
    </row>
    <row r="210" spans="14:28" ht="13.5">
      <c r="N210" s="3">
        <v>40032</v>
      </c>
      <c r="O210" t="s">
        <v>101</v>
      </c>
      <c r="P210" s="6"/>
      <c r="Q210" s="6">
        <v>348</v>
      </c>
      <c r="R210" s="6">
        <f t="shared" si="56"/>
        <v>20346</v>
      </c>
      <c r="S210" s="11" t="s">
        <v>136</v>
      </c>
      <c r="T210" s="7">
        <f t="shared" si="60"/>
        <v>813.84</v>
      </c>
      <c r="V210" s="3">
        <v>40240</v>
      </c>
      <c r="W210" t="s">
        <v>351</v>
      </c>
      <c r="X210" s="7"/>
      <c r="Y210" s="7">
        <v>368</v>
      </c>
      <c r="Z210" s="6">
        <f t="shared" si="61"/>
        <v>40282</v>
      </c>
      <c r="AA210" s="11" t="s">
        <v>10</v>
      </c>
      <c r="AB210" s="7">
        <f t="shared" si="62"/>
        <v>1389.0344827586207</v>
      </c>
    </row>
    <row r="211" spans="14:28" ht="13.5">
      <c r="N211" s="3">
        <v>40032</v>
      </c>
      <c r="O211" t="s">
        <v>42</v>
      </c>
      <c r="P211" s="6"/>
      <c r="Q211" s="6">
        <v>1411</v>
      </c>
      <c r="R211" s="6">
        <f t="shared" si="56"/>
        <v>18935</v>
      </c>
      <c r="S211" s="11" t="s">
        <v>136</v>
      </c>
      <c r="T211" s="7">
        <f t="shared" si="60"/>
        <v>757.4</v>
      </c>
      <c r="V211" s="3">
        <v>40240</v>
      </c>
      <c r="W211" t="s">
        <v>28</v>
      </c>
      <c r="X211" s="7"/>
      <c r="Y211" s="7">
        <f>3925*2</f>
        <v>7850</v>
      </c>
      <c r="Z211" s="6">
        <f aca="true" t="shared" si="63" ref="Z211:Z224">+Z210+X211-Y211</f>
        <v>32432</v>
      </c>
      <c r="AA211" s="11" t="s">
        <v>10</v>
      </c>
      <c r="AB211" s="7">
        <f t="shared" si="62"/>
        <v>1118.344827586207</v>
      </c>
    </row>
    <row r="212" spans="14:28" ht="13.5">
      <c r="N212" s="3">
        <v>40033</v>
      </c>
      <c r="O212" t="s">
        <v>201</v>
      </c>
      <c r="P212" s="6"/>
      <c r="Q212" s="6">
        <v>2066</v>
      </c>
      <c r="R212" s="6">
        <f t="shared" si="56"/>
        <v>16869</v>
      </c>
      <c r="S212" s="11" t="s">
        <v>136</v>
      </c>
      <c r="T212" s="7">
        <f t="shared" si="60"/>
        <v>702.875</v>
      </c>
      <c r="V212" s="3">
        <v>40242</v>
      </c>
      <c r="W212" t="s">
        <v>497</v>
      </c>
      <c r="X212" s="7"/>
      <c r="Y212" s="7">
        <f>140*40</f>
        <v>5600</v>
      </c>
      <c r="Z212" s="6">
        <f t="shared" si="63"/>
        <v>26832</v>
      </c>
      <c r="AA212" s="11" t="s">
        <v>10</v>
      </c>
      <c r="AB212" s="7">
        <f aca="true" t="shared" si="64" ref="AB212:AB229">+Z212/(40269-V212)</f>
        <v>993.7777777777778</v>
      </c>
    </row>
    <row r="213" spans="14:28" ht="13.5">
      <c r="N213" s="3">
        <v>40035</v>
      </c>
      <c r="O213" t="s">
        <v>17</v>
      </c>
      <c r="P213" s="6"/>
      <c r="Q213" s="6">
        <v>960</v>
      </c>
      <c r="R213" s="6">
        <f t="shared" si="56"/>
        <v>15909</v>
      </c>
      <c r="S213" s="11" t="s">
        <v>136</v>
      </c>
      <c r="T213" s="7">
        <f t="shared" si="60"/>
        <v>723.1363636363636</v>
      </c>
      <c r="V213" s="3">
        <v>40242</v>
      </c>
      <c r="W213" t="s">
        <v>583</v>
      </c>
      <c r="X213" s="7"/>
      <c r="Y213" s="7">
        <v>3752</v>
      </c>
      <c r="Z213" s="6">
        <f t="shared" si="63"/>
        <v>23080</v>
      </c>
      <c r="AA213" s="11" t="s">
        <v>10</v>
      </c>
      <c r="AB213" s="7">
        <f t="shared" si="64"/>
        <v>854.8148148148148</v>
      </c>
    </row>
    <row r="214" spans="14:28" ht="13.5">
      <c r="N214" s="3">
        <v>40035</v>
      </c>
      <c r="O214" t="s">
        <v>203</v>
      </c>
      <c r="P214" s="6"/>
      <c r="Q214" s="6">
        <v>0</v>
      </c>
      <c r="R214" s="6">
        <f t="shared" si="56"/>
        <v>15909</v>
      </c>
      <c r="S214" s="11" t="s">
        <v>136</v>
      </c>
      <c r="T214" s="7">
        <f t="shared" si="60"/>
        <v>723.1363636363636</v>
      </c>
      <c r="V214" s="3">
        <v>40242</v>
      </c>
      <c r="W214" t="s">
        <v>595</v>
      </c>
      <c r="X214" s="7"/>
      <c r="Y214" s="7">
        <v>2980</v>
      </c>
      <c r="Z214" s="6">
        <f t="shared" si="63"/>
        <v>20100</v>
      </c>
      <c r="AA214" s="11" t="s">
        <v>10</v>
      </c>
      <c r="AB214" s="7">
        <f t="shared" si="64"/>
        <v>744.4444444444445</v>
      </c>
    </row>
    <row r="215" spans="14:28" ht="13.5">
      <c r="N215" s="3">
        <v>40035</v>
      </c>
      <c r="O215" t="s">
        <v>23</v>
      </c>
      <c r="P215" s="6"/>
      <c r="Q215" s="6">
        <v>5808</v>
      </c>
      <c r="R215" s="6">
        <f t="shared" si="56"/>
        <v>10101</v>
      </c>
      <c r="S215" s="11" t="s">
        <v>136</v>
      </c>
      <c r="T215" s="7">
        <f t="shared" si="60"/>
        <v>459.1363636363636</v>
      </c>
      <c r="V215" s="3">
        <v>40242</v>
      </c>
      <c r="W215" t="s">
        <v>589</v>
      </c>
      <c r="X215" s="6"/>
      <c r="Y215" s="6">
        <v>1950</v>
      </c>
      <c r="Z215" s="6">
        <f t="shared" si="63"/>
        <v>18150</v>
      </c>
      <c r="AA215" s="11" t="s">
        <v>10</v>
      </c>
      <c r="AB215" s="7">
        <f t="shared" si="64"/>
        <v>672.2222222222222</v>
      </c>
    </row>
    <row r="216" spans="14:28" ht="13.5">
      <c r="N216" s="3">
        <v>40035</v>
      </c>
      <c r="O216" t="s">
        <v>101</v>
      </c>
      <c r="P216" s="6"/>
      <c r="Q216" s="6">
        <f>105*5</f>
        <v>525</v>
      </c>
      <c r="R216" s="6">
        <f t="shared" si="56"/>
        <v>9576</v>
      </c>
      <c r="S216" s="11" t="s">
        <v>136</v>
      </c>
      <c r="T216" s="7">
        <f t="shared" si="60"/>
        <v>435.27272727272725</v>
      </c>
      <c r="V216" s="3">
        <v>40242</v>
      </c>
      <c r="W216" t="s">
        <v>590</v>
      </c>
      <c r="X216" s="7"/>
      <c r="Y216" s="7">
        <v>430</v>
      </c>
      <c r="Z216" s="6">
        <f t="shared" si="63"/>
        <v>17720</v>
      </c>
      <c r="AA216" s="11" t="s">
        <v>10</v>
      </c>
      <c r="AB216" s="7">
        <f t="shared" si="64"/>
        <v>656.2962962962963</v>
      </c>
    </row>
    <row r="217" spans="14:28" ht="13.5">
      <c r="N217" s="3">
        <v>40035</v>
      </c>
      <c r="O217" t="s">
        <v>81</v>
      </c>
      <c r="P217" s="6"/>
      <c r="Q217" s="6">
        <v>105</v>
      </c>
      <c r="R217" s="6">
        <f t="shared" si="56"/>
        <v>9471</v>
      </c>
      <c r="S217" s="11" t="s">
        <v>136</v>
      </c>
      <c r="T217" s="7">
        <f t="shared" si="60"/>
        <v>430.5</v>
      </c>
      <c r="V217" s="3">
        <v>40242</v>
      </c>
      <c r="W217" t="s">
        <v>591</v>
      </c>
      <c r="X217" s="7"/>
      <c r="Y217" s="7">
        <v>630</v>
      </c>
      <c r="Z217" s="6">
        <f t="shared" si="63"/>
        <v>17090</v>
      </c>
      <c r="AA217" s="11" t="s">
        <v>10</v>
      </c>
      <c r="AB217" s="7">
        <f t="shared" si="64"/>
        <v>632.9629629629629</v>
      </c>
    </row>
    <row r="218" spans="14:28" ht="13.5">
      <c r="N218" s="3">
        <v>40037</v>
      </c>
      <c r="O218" t="s">
        <v>694</v>
      </c>
      <c r="P218" s="6"/>
      <c r="Q218" s="6">
        <v>1914</v>
      </c>
      <c r="R218" s="6">
        <f t="shared" si="56"/>
        <v>7557</v>
      </c>
      <c r="S218" s="11" t="s">
        <v>136</v>
      </c>
      <c r="T218" s="7">
        <f t="shared" si="60"/>
        <v>377.85</v>
      </c>
      <c r="V218" s="3">
        <v>40242</v>
      </c>
      <c r="W218" t="s">
        <v>592</v>
      </c>
      <c r="X218" s="6"/>
      <c r="Y218" s="6">
        <f>368+730</f>
        <v>1098</v>
      </c>
      <c r="Z218" s="6">
        <f t="shared" si="63"/>
        <v>15992</v>
      </c>
      <c r="AA218" s="11" t="s">
        <v>10</v>
      </c>
      <c r="AB218" s="7">
        <f t="shared" si="64"/>
        <v>592.2962962962963</v>
      </c>
    </row>
    <row r="219" spans="14:28" ht="13.5">
      <c r="N219" s="3">
        <v>40037</v>
      </c>
      <c r="O219" t="s">
        <v>40</v>
      </c>
      <c r="P219" s="6"/>
      <c r="Q219" s="6">
        <f>120+210</f>
        <v>330</v>
      </c>
      <c r="R219" s="6">
        <f t="shared" si="56"/>
        <v>7227</v>
      </c>
      <c r="S219" s="11" t="s">
        <v>136</v>
      </c>
      <c r="T219" s="7">
        <f t="shared" si="60"/>
        <v>361.35</v>
      </c>
      <c r="V219" s="3">
        <v>40242</v>
      </c>
      <c r="W219" t="s">
        <v>593</v>
      </c>
      <c r="X219" s="6"/>
      <c r="Y219" s="6">
        <f>140*5</f>
        <v>700</v>
      </c>
      <c r="Z219" s="6">
        <f t="shared" si="63"/>
        <v>15292</v>
      </c>
      <c r="AA219" s="11" t="s">
        <v>10</v>
      </c>
      <c r="AB219" s="7">
        <f t="shared" si="64"/>
        <v>566.3703703703703</v>
      </c>
    </row>
    <row r="220" spans="14:28" ht="13.5">
      <c r="N220" s="3">
        <v>40037</v>
      </c>
      <c r="O220" t="s">
        <v>205</v>
      </c>
      <c r="P220" s="6"/>
      <c r="Q220" s="6">
        <v>1386</v>
      </c>
      <c r="R220" s="6">
        <f>+R219+P220-Q220</f>
        <v>5841</v>
      </c>
      <c r="S220" s="11" t="s">
        <v>136</v>
      </c>
      <c r="T220" s="7">
        <f>+R220/(40057-N220)</f>
        <v>292.05</v>
      </c>
      <c r="V220" s="3">
        <v>40242</v>
      </c>
      <c r="W220" t="s">
        <v>430</v>
      </c>
      <c r="X220" s="6"/>
      <c r="Y220" s="6">
        <v>15</v>
      </c>
      <c r="Z220" s="6">
        <f t="shared" si="63"/>
        <v>15277</v>
      </c>
      <c r="AA220" s="11" t="s">
        <v>10</v>
      </c>
      <c r="AB220" s="7">
        <f t="shared" si="64"/>
        <v>565.8148148148148</v>
      </c>
    </row>
    <row r="221" spans="14:28" ht="13.5">
      <c r="N221" s="3">
        <v>40037</v>
      </c>
      <c r="O221" t="s">
        <v>206</v>
      </c>
      <c r="P221" s="6"/>
      <c r="Q221" s="6">
        <v>975</v>
      </c>
      <c r="R221" s="6">
        <f>+R220+P221-Q221</f>
        <v>4866</v>
      </c>
      <c r="S221" s="11" t="s">
        <v>136</v>
      </c>
      <c r="T221" s="7">
        <f>+R221/(40057-N221)</f>
        <v>243.3</v>
      </c>
      <c r="V221" s="3">
        <v>40242</v>
      </c>
      <c r="W221" t="s">
        <v>594</v>
      </c>
      <c r="X221" s="6"/>
      <c r="Y221" s="6">
        <v>458</v>
      </c>
      <c r="Z221" s="6">
        <f t="shared" si="63"/>
        <v>14819</v>
      </c>
      <c r="AA221" s="11" t="s">
        <v>10</v>
      </c>
      <c r="AB221" s="7">
        <f t="shared" si="64"/>
        <v>548.8518518518518</v>
      </c>
    </row>
    <row r="222" spans="14:28" ht="13.5">
      <c r="N222" s="3">
        <v>40039</v>
      </c>
      <c r="O222" t="s">
        <v>695</v>
      </c>
      <c r="P222" s="6">
        <v>132000</v>
      </c>
      <c r="Q222" s="6"/>
      <c r="R222" s="6">
        <f aca="true" t="shared" si="65" ref="R222:R241">+R221+P222-Q222</f>
        <v>136866</v>
      </c>
      <c r="S222" s="11" t="s">
        <v>136</v>
      </c>
      <c r="T222" s="7">
        <f aca="true" t="shared" si="66" ref="T222:T241">+R222/(40057-N222)</f>
        <v>7603.666666666667</v>
      </c>
      <c r="V222" s="3">
        <v>40242</v>
      </c>
      <c r="W222" t="s">
        <v>540</v>
      </c>
      <c r="X222" s="6"/>
      <c r="Y222" s="6">
        <f>105*3</f>
        <v>315</v>
      </c>
      <c r="Z222" s="6">
        <f t="shared" si="63"/>
        <v>14504</v>
      </c>
      <c r="AA222" s="11" t="s">
        <v>10</v>
      </c>
      <c r="AB222" s="7">
        <f t="shared" si="64"/>
        <v>537.1851851851852</v>
      </c>
    </row>
    <row r="223" spans="14:28" ht="13.5">
      <c r="N223" s="3">
        <v>40039</v>
      </c>
      <c r="O223" t="s">
        <v>24</v>
      </c>
      <c r="P223" s="6"/>
      <c r="Q223" s="6">
        <v>4011</v>
      </c>
      <c r="R223" s="6">
        <f t="shared" si="65"/>
        <v>132855</v>
      </c>
      <c r="S223" s="11" t="s">
        <v>136</v>
      </c>
      <c r="T223" s="7">
        <f t="shared" si="66"/>
        <v>7380.833333333333</v>
      </c>
      <c r="V223" s="3">
        <v>40242</v>
      </c>
      <c r="W223" t="s">
        <v>158</v>
      </c>
      <c r="X223" s="6"/>
      <c r="Y223" s="6">
        <f>900+820</f>
        <v>1720</v>
      </c>
      <c r="Z223" s="6">
        <f t="shared" si="63"/>
        <v>12784</v>
      </c>
      <c r="AA223" s="11" t="s">
        <v>10</v>
      </c>
      <c r="AB223" s="7">
        <f t="shared" si="64"/>
        <v>473.48148148148147</v>
      </c>
    </row>
    <row r="224" spans="14:28" ht="13.5">
      <c r="N224" s="3">
        <v>40039</v>
      </c>
      <c r="O224" t="s">
        <v>25</v>
      </c>
      <c r="P224" s="6"/>
      <c r="Q224" s="6">
        <f>6748+8165</f>
        <v>14913</v>
      </c>
      <c r="R224" s="6">
        <f t="shared" si="65"/>
        <v>117942</v>
      </c>
      <c r="S224" s="11" t="s">
        <v>136</v>
      </c>
      <c r="T224" s="7">
        <f t="shared" si="66"/>
        <v>6552.333333333333</v>
      </c>
      <c r="V224" s="3">
        <v>40242</v>
      </c>
      <c r="W224" t="s">
        <v>50</v>
      </c>
      <c r="X224" s="6"/>
      <c r="Y224" s="6">
        <f>-190+2</f>
        <v>-188</v>
      </c>
      <c r="Z224" s="6">
        <f t="shared" si="63"/>
        <v>12972</v>
      </c>
      <c r="AA224" s="11" t="s">
        <v>10</v>
      </c>
      <c r="AB224" s="7">
        <f t="shared" si="64"/>
        <v>480.44444444444446</v>
      </c>
    </row>
    <row r="225" spans="14:28" ht="13.5">
      <c r="N225" s="3">
        <v>40039</v>
      </c>
      <c r="O225" t="s">
        <v>27</v>
      </c>
      <c r="P225" s="6"/>
      <c r="Q225" s="6">
        <f>5075+5084+6120</f>
        <v>16279</v>
      </c>
      <c r="R225" s="6">
        <f t="shared" si="65"/>
        <v>101663</v>
      </c>
      <c r="S225" s="11" t="s">
        <v>136</v>
      </c>
      <c r="T225" s="7">
        <f t="shared" si="66"/>
        <v>5647.944444444444</v>
      </c>
      <c r="V225" s="3">
        <v>40245</v>
      </c>
      <c r="W225" t="s">
        <v>17</v>
      </c>
      <c r="X225" s="6"/>
      <c r="Y225" s="6">
        <v>996</v>
      </c>
      <c r="Z225" s="6">
        <f aca="true" t="shared" si="67" ref="Z225:Z234">+Z224+X225-Y225</f>
        <v>11976</v>
      </c>
      <c r="AA225" s="11" t="s">
        <v>10</v>
      </c>
      <c r="AB225" s="7">
        <f t="shared" si="64"/>
        <v>499</v>
      </c>
    </row>
    <row r="226" spans="14:28" ht="13.5">
      <c r="N226" s="3">
        <v>40039</v>
      </c>
      <c r="O226" t="s">
        <v>696</v>
      </c>
      <c r="P226" s="6"/>
      <c r="Q226" s="6">
        <f>6090+762+762+360</f>
        <v>7974</v>
      </c>
      <c r="R226" s="6">
        <f t="shared" si="65"/>
        <v>93689</v>
      </c>
      <c r="S226" s="11" t="s">
        <v>136</v>
      </c>
      <c r="T226" s="7">
        <f t="shared" si="66"/>
        <v>5204.944444444444</v>
      </c>
      <c r="V226" s="3">
        <v>40245</v>
      </c>
      <c r="W226" t="s">
        <v>73</v>
      </c>
      <c r="X226" s="6"/>
      <c r="Y226" s="6">
        <v>105</v>
      </c>
      <c r="Z226" s="6">
        <f t="shared" si="67"/>
        <v>11871</v>
      </c>
      <c r="AA226" s="11" t="s">
        <v>10</v>
      </c>
      <c r="AB226" s="7">
        <f t="shared" si="64"/>
        <v>494.625</v>
      </c>
    </row>
    <row r="227" spans="14:28" ht="13.5">
      <c r="N227" s="3">
        <v>40039</v>
      </c>
      <c r="O227" t="s">
        <v>17</v>
      </c>
      <c r="P227" s="6"/>
      <c r="Q227" s="6">
        <v>1390</v>
      </c>
      <c r="R227" s="6">
        <f t="shared" si="65"/>
        <v>92299</v>
      </c>
      <c r="S227" s="11" t="s">
        <v>136</v>
      </c>
      <c r="T227" s="7">
        <f t="shared" si="66"/>
        <v>5127.722222222223</v>
      </c>
      <c r="V227" s="3">
        <v>40245</v>
      </c>
      <c r="W227" t="s">
        <v>370</v>
      </c>
      <c r="Y227" s="7">
        <v>200</v>
      </c>
      <c r="Z227" s="6">
        <f t="shared" si="67"/>
        <v>11671</v>
      </c>
      <c r="AA227" s="11" t="s">
        <v>10</v>
      </c>
      <c r="AB227" s="7">
        <f t="shared" si="64"/>
        <v>486.2916666666667</v>
      </c>
    </row>
    <row r="228" spans="14:28" ht="13.5">
      <c r="N228" s="3">
        <v>40039</v>
      </c>
      <c r="O228" t="s">
        <v>207</v>
      </c>
      <c r="P228" s="6"/>
      <c r="Q228" s="6">
        <v>350</v>
      </c>
      <c r="R228" s="6">
        <f t="shared" si="65"/>
        <v>91949</v>
      </c>
      <c r="S228" s="11" t="s">
        <v>136</v>
      </c>
      <c r="T228" s="7">
        <f t="shared" si="66"/>
        <v>5108.277777777777</v>
      </c>
      <c r="V228" s="3">
        <v>40245</v>
      </c>
      <c r="W228" t="s">
        <v>126</v>
      </c>
      <c r="X228" s="6"/>
      <c r="Y228" s="6">
        <v>105</v>
      </c>
      <c r="Z228" s="6">
        <f t="shared" si="67"/>
        <v>11566</v>
      </c>
      <c r="AA228" s="11" t="s">
        <v>10</v>
      </c>
      <c r="AB228" s="7">
        <f t="shared" si="64"/>
        <v>481.9166666666667</v>
      </c>
    </row>
    <row r="229" spans="14:28" ht="13.5">
      <c r="N229" s="3">
        <v>40039</v>
      </c>
      <c r="O229" t="s">
        <v>208</v>
      </c>
      <c r="P229" s="6"/>
      <c r="Q229" s="6">
        <v>2102</v>
      </c>
      <c r="R229" s="6">
        <f t="shared" si="65"/>
        <v>89847</v>
      </c>
      <c r="S229" s="11" t="s">
        <v>136</v>
      </c>
      <c r="T229" s="7">
        <f t="shared" si="66"/>
        <v>4991.5</v>
      </c>
      <c r="V229" s="3">
        <v>40246</v>
      </c>
      <c r="W229" t="s">
        <v>596</v>
      </c>
      <c r="X229" s="6"/>
      <c r="Y229" s="6">
        <v>2536</v>
      </c>
      <c r="Z229" s="6">
        <f t="shared" si="67"/>
        <v>9030</v>
      </c>
      <c r="AA229" s="11" t="s">
        <v>10</v>
      </c>
      <c r="AB229" s="7">
        <f t="shared" si="64"/>
        <v>392.60869565217394</v>
      </c>
    </row>
    <row r="230" spans="14:28" ht="13.5">
      <c r="N230" s="3">
        <v>40039</v>
      </c>
      <c r="O230" t="s">
        <v>209</v>
      </c>
      <c r="P230" s="6"/>
      <c r="Q230" s="6">
        <f>2058-1390</f>
        <v>668</v>
      </c>
      <c r="R230" s="6">
        <f t="shared" si="65"/>
        <v>89179</v>
      </c>
      <c r="S230" s="11" t="s">
        <v>136</v>
      </c>
      <c r="T230" s="7">
        <f t="shared" si="66"/>
        <v>4954.388888888889</v>
      </c>
      <c r="V230" s="3">
        <v>40247</v>
      </c>
      <c r="W230" t="s">
        <v>122</v>
      </c>
      <c r="X230" s="6"/>
      <c r="Y230" s="6">
        <v>105</v>
      </c>
      <c r="Z230" s="6">
        <f t="shared" si="67"/>
        <v>8925</v>
      </c>
      <c r="AA230" s="11" t="s">
        <v>10</v>
      </c>
      <c r="AB230" s="7">
        <f>+Z230/(40269-V230)</f>
        <v>405.6818181818182</v>
      </c>
    </row>
    <row r="231" spans="14:28" ht="13.5">
      <c r="N231" s="3">
        <v>40039</v>
      </c>
      <c r="O231" t="s">
        <v>210</v>
      </c>
      <c r="P231" s="6"/>
      <c r="Q231" s="6">
        <v>4811</v>
      </c>
      <c r="R231" s="6">
        <f t="shared" si="65"/>
        <v>84368</v>
      </c>
      <c r="S231" s="11" t="s">
        <v>136</v>
      </c>
      <c r="T231" s="7">
        <f t="shared" si="66"/>
        <v>4687.111111111111</v>
      </c>
      <c r="V231" s="3">
        <v>40247</v>
      </c>
      <c r="W231" t="s">
        <v>124</v>
      </c>
      <c r="X231" s="6"/>
      <c r="Y231" s="6">
        <v>105</v>
      </c>
      <c r="Z231" s="6">
        <f t="shared" si="67"/>
        <v>8820</v>
      </c>
      <c r="AA231" s="11" t="s">
        <v>10</v>
      </c>
      <c r="AB231" s="7">
        <f>+Z231/(40269-V231)</f>
        <v>400.90909090909093</v>
      </c>
    </row>
    <row r="232" spans="14:28" ht="13.5">
      <c r="N232" s="3">
        <v>40039</v>
      </c>
      <c r="O232" t="s">
        <v>204</v>
      </c>
      <c r="P232" s="6"/>
      <c r="Q232" s="6">
        <v>4590</v>
      </c>
      <c r="R232" s="6">
        <f t="shared" si="65"/>
        <v>79778</v>
      </c>
      <c r="S232" s="11" t="s">
        <v>136</v>
      </c>
      <c r="T232" s="7">
        <f t="shared" si="66"/>
        <v>4432.111111111111</v>
      </c>
      <c r="V232" s="3">
        <v>40249</v>
      </c>
      <c r="W232" t="s">
        <v>597</v>
      </c>
      <c r="X232" s="6"/>
      <c r="Y232" s="6">
        <v>498</v>
      </c>
      <c r="Z232" s="6">
        <f t="shared" si="67"/>
        <v>8322</v>
      </c>
      <c r="AA232" s="11" t="s">
        <v>10</v>
      </c>
      <c r="AB232" s="7">
        <f>+Z232/(40269-V232)</f>
        <v>416.1</v>
      </c>
    </row>
    <row r="233" spans="14:28" ht="13.5">
      <c r="N233" s="3">
        <v>40041</v>
      </c>
      <c r="O233" t="s">
        <v>41</v>
      </c>
      <c r="P233" s="6"/>
      <c r="Q233" s="6">
        <v>35000</v>
      </c>
      <c r="R233" s="6">
        <f t="shared" si="65"/>
        <v>44778</v>
      </c>
      <c r="S233" s="11" t="s">
        <v>136</v>
      </c>
      <c r="T233" s="7">
        <f t="shared" si="66"/>
        <v>2798.625</v>
      </c>
      <c r="V233" s="3">
        <v>40249</v>
      </c>
      <c r="W233" t="s">
        <v>600</v>
      </c>
      <c r="X233" s="6"/>
      <c r="Y233" s="6">
        <f>55+261</f>
        <v>316</v>
      </c>
      <c r="Z233" s="6">
        <f t="shared" si="67"/>
        <v>8006</v>
      </c>
      <c r="AA233" s="11" t="s">
        <v>10</v>
      </c>
      <c r="AB233" s="7">
        <f>+Z233/(40269-V233)</f>
        <v>400.3</v>
      </c>
    </row>
    <row r="234" spans="14:28" ht="13.5">
      <c r="N234" s="3">
        <v>40041</v>
      </c>
      <c r="O234" t="s">
        <v>212</v>
      </c>
      <c r="P234" s="6"/>
      <c r="Q234" s="6">
        <v>366</v>
      </c>
      <c r="R234" s="6">
        <f t="shared" si="65"/>
        <v>44412</v>
      </c>
      <c r="S234" s="11" t="s">
        <v>136</v>
      </c>
      <c r="T234" s="7">
        <f t="shared" si="66"/>
        <v>2775.75</v>
      </c>
      <c r="V234" s="3">
        <v>40249</v>
      </c>
      <c r="W234" t="s">
        <v>370</v>
      </c>
      <c r="X234" s="6"/>
      <c r="Y234" s="6">
        <f>105*4</f>
        <v>420</v>
      </c>
      <c r="Z234" s="6">
        <f t="shared" si="67"/>
        <v>7586</v>
      </c>
      <c r="AA234" s="11" t="s">
        <v>10</v>
      </c>
      <c r="AB234" s="7">
        <f>+Z234/(40269-V234)</f>
        <v>379.3</v>
      </c>
    </row>
    <row r="235" spans="14:28" ht="13.5">
      <c r="N235" s="3">
        <v>40041</v>
      </c>
      <c r="O235" t="s">
        <v>213</v>
      </c>
      <c r="P235" s="6"/>
      <c r="Q235" s="6">
        <v>1780</v>
      </c>
      <c r="R235" s="6">
        <f t="shared" si="65"/>
        <v>42632</v>
      </c>
      <c r="S235" s="11" t="s">
        <v>136</v>
      </c>
      <c r="T235" s="7">
        <f t="shared" si="66"/>
        <v>2664.5</v>
      </c>
      <c r="V235" s="3">
        <v>40252</v>
      </c>
      <c r="W235" t="s">
        <v>17</v>
      </c>
      <c r="X235" s="6"/>
      <c r="Y235" s="6">
        <v>996</v>
      </c>
      <c r="Z235" s="6">
        <f aca="true" t="shared" si="68" ref="Z235:Z240">+Z234+X235-Y235</f>
        <v>6590</v>
      </c>
      <c r="AA235" s="11" t="s">
        <v>10</v>
      </c>
      <c r="AB235" s="7">
        <f aca="true" t="shared" si="69" ref="AB235:AB240">+Z235/(40269-V235)</f>
        <v>387.6470588235294</v>
      </c>
    </row>
    <row r="236" spans="14:28" ht="13.5">
      <c r="N236" s="3">
        <v>40041</v>
      </c>
      <c r="O236" t="s">
        <v>214</v>
      </c>
      <c r="P236" s="6"/>
      <c r="Q236" s="6">
        <f>1956+168</f>
        <v>2124</v>
      </c>
      <c r="R236" s="6">
        <f t="shared" si="65"/>
        <v>40508</v>
      </c>
      <c r="S236" s="11" t="s">
        <v>136</v>
      </c>
      <c r="T236" s="7">
        <f t="shared" si="66"/>
        <v>2531.75</v>
      </c>
      <c r="V236" s="3">
        <v>40252</v>
      </c>
      <c r="W236" t="s">
        <v>122</v>
      </c>
      <c r="X236" s="6"/>
      <c r="Y236" s="6">
        <v>105</v>
      </c>
      <c r="Z236" s="6">
        <f t="shared" si="68"/>
        <v>6485</v>
      </c>
      <c r="AA236" s="11" t="s">
        <v>10</v>
      </c>
      <c r="AB236" s="7">
        <f t="shared" si="69"/>
        <v>381.47058823529414</v>
      </c>
    </row>
    <row r="237" spans="14:28" ht="13.5">
      <c r="N237" s="3">
        <v>40041</v>
      </c>
      <c r="O237" t="s">
        <v>215</v>
      </c>
      <c r="P237" s="6"/>
      <c r="Q237" s="6">
        <f>1083+5</f>
        <v>1088</v>
      </c>
      <c r="R237" s="6">
        <f t="shared" si="65"/>
        <v>39420</v>
      </c>
      <c r="S237" s="11" t="s">
        <v>136</v>
      </c>
      <c r="T237" s="7">
        <f t="shared" si="66"/>
        <v>2463.75</v>
      </c>
      <c r="V237" s="3">
        <v>40252</v>
      </c>
      <c r="W237" t="s">
        <v>126</v>
      </c>
      <c r="X237" s="6"/>
      <c r="Y237" s="6">
        <v>105</v>
      </c>
      <c r="Z237" s="6">
        <f t="shared" si="68"/>
        <v>6380</v>
      </c>
      <c r="AA237" s="11" t="s">
        <v>10</v>
      </c>
      <c r="AB237" s="7">
        <f t="shared" si="69"/>
        <v>375.29411764705884</v>
      </c>
    </row>
    <row r="238" spans="14:28" ht="13.5">
      <c r="N238" s="3">
        <v>40041</v>
      </c>
      <c r="O238" t="s">
        <v>216</v>
      </c>
      <c r="P238" s="6"/>
      <c r="Q238" s="6">
        <v>100</v>
      </c>
      <c r="R238" s="6">
        <f t="shared" si="65"/>
        <v>39320</v>
      </c>
      <c r="S238" s="11" t="s">
        <v>136</v>
      </c>
      <c r="T238" s="7">
        <f t="shared" si="66"/>
        <v>2457.5</v>
      </c>
      <c r="V238" s="3">
        <v>40252</v>
      </c>
      <c r="W238" t="s">
        <v>598</v>
      </c>
      <c r="X238" s="6"/>
      <c r="Y238" s="6">
        <f>105*2</f>
        <v>210</v>
      </c>
      <c r="Z238" s="6">
        <f t="shared" si="68"/>
        <v>6170</v>
      </c>
      <c r="AA238" s="11" t="s">
        <v>10</v>
      </c>
      <c r="AB238" s="7">
        <f t="shared" si="69"/>
        <v>362.94117647058823</v>
      </c>
    </row>
    <row r="239" spans="14:28" ht="13.5">
      <c r="N239" s="3">
        <v>40041</v>
      </c>
      <c r="O239" t="s">
        <v>107</v>
      </c>
      <c r="P239" s="6"/>
      <c r="Q239" s="6">
        <v>460</v>
      </c>
      <c r="R239" s="6">
        <f t="shared" si="65"/>
        <v>38860</v>
      </c>
      <c r="S239" s="11" t="s">
        <v>136</v>
      </c>
      <c r="T239" s="7">
        <f t="shared" si="66"/>
        <v>2428.75</v>
      </c>
      <c r="V239" s="3">
        <v>40252</v>
      </c>
      <c r="W239" t="s">
        <v>599</v>
      </c>
      <c r="X239" s="6"/>
      <c r="Y239" s="6">
        <v>300</v>
      </c>
      <c r="Z239" s="6">
        <f t="shared" si="68"/>
        <v>5870</v>
      </c>
      <c r="AA239" s="11" t="s">
        <v>10</v>
      </c>
      <c r="AB239" s="7">
        <f t="shared" si="69"/>
        <v>345.29411764705884</v>
      </c>
    </row>
    <row r="240" spans="14:28" ht="13.5">
      <c r="N240" s="3">
        <v>40041</v>
      </c>
      <c r="O240" t="s">
        <v>217</v>
      </c>
      <c r="P240" s="6"/>
      <c r="Q240" s="6">
        <v>2341</v>
      </c>
      <c r="R240" s="6">
        <f t="shared" si="65"/>
        <v>36519</v>
      </c>
      <c r="S240" s="11" t="s">
        <v>136</v>
      </c>
      <c r="T240" s="7">
        <f t="shared" si="66"/>
        <v>2282.4375</v>
      </c>
      <c r="V240" s="3">
        <v>40254</v>
      </c>
      <c r="W240" t="s">
        <v>534</v>
      </c>
      <c r="X240" s="6"/>
      <c r="Y240" s="6">
        <v>105</v>
      </c>
      <c r="Z240" s="6">
        <f t="shared" si="68"/>
        <v>5765</v>
      </c>
      <c r="AA240" s="11" t="s">
        <v>10</v>
      </c>
      <c r="AB240" s="7">
        <f t="shared" si="69"/>
        <v>384.3333333333333</v>
      </c>
    </row>
    <row r="241" spans="14:28" ht="13.5">
      <c r="N241" s="3">
        <v>40041</v>
      </c>
      <c r="O241" t="s">
        <v>259</v>
      </c>
      <c r="P241" s="6"/>
      <c r="Q241" s="6">
        <v>1000</v>
      </c>
      <c r="R241" s="6">
        <f t="shared" si="65"/>
        <v>35519</v>
      </c>
      <c r="S241" s="11" t="s">
        <v>136</v>
      </c>
      <c r="T241" s="7">
        <f t="shared" si="66"/>
        <v>2219.9375</v>
      </c>
      <c r="V241" s="3">
        <v>40256</v>
      </c>
      <c r="W241" t="s">
        <v>17</v>
      </c>
      <c r="X241" s="6"/>
      <c r="Y241" s="6">
        <v>996</v>
      </c>
      <c r="Z241" s="6">
        <f aca="true" t="shared" si="70" ref="Z241:Z250">+Z240+X241-Y241</f>
        <v>4769</v>
      </c>
      <c r="AA241" s="11" t="s">
        <v>10</v>
      </c>
      <c r="AB241" s="7">
        <f aca="true" t="shared" si="71" ref="AB241:AB250">+Z241/(40269-V241)</f>
        <v>366.84615384615387</v>
      </c>
    </row>
    <row r="242" spans="14:28" ht="13.5">
      <c r="N242" s="3">
        <v>40042</v>
      </c>
      <c r="O242" t="s">
        <v>218</v>
      </c>
      <c r="P242" s="6"/>
      <c r="Q242" s="6">
        <v>105</v>
      </c>
      <c r="R242" s="6">
        <f>+R241+P242-Q242</f>
        <v>35414</v>
      </c>
      <c r="S242" s="11" t="s">
        <v>136</v>
      </c>
      <c r="T242" s="7">
        <f aca="true" t="shared" si="72" ref="T242:T253">+R242/(40057-N242)</f>
        <v>2360.9333333333334</v>
      </c>
      <c r="V242" s="3">
        <v>40256</v>
      </c>
      <c r="W242" t="s">
        <v>601</v>
      </c>
      <c r="X242" s="6"/>
      <c r="Y242" s="6">
        <f>451-105</f>
        <v>346</v>
      </c>
      <c r="Z242" s="6">
        <f t="shared" si="70"/>
        <v>4423</v>
      </c>
      <c r="AA242" s="11" t="s">
        <v>10</v>
      </c>
      <c r="AB242" s="7">
        <f t="shared" si="71"/>
        <v>340.2307692307692</v>
      </c>
    </row>
    <row r="243" spans="14:28" ht="13.5">
      <c r="N243" s="3">
        <v>40042</v>
      </c>
      <c r="O243" t="s">
        <v>219</v>
      </c>
      <c r="P243" s="6"/>
      <c r="Q243" s="6">
        <f>945-105</f>
        <v>840</v>
      </c>
      <c r="R243" s="6">
        <f>+R242+P243-Q243</f>
        <v>34574</v>
      </c>
      <c r="S243" s="11" t="s">
        <v>136</v>
      </c>
      <c r="T243" s="7">
        <f t="shared" si="72"/>
        <v>2304.9333333333334</v>
      </c>
      <c r="V243" s="3">
        <v>40256</v>
      </c>
      <c r="W243" t="s">
        <v>124</v>
      </c>
      <c r="X243" s="6"/>
      <c r="Y243" s="6">
        <v>105</v>
      </c>
      <c r="Z243" s="6">
        <f t="shared" si="70"/>
        <v>4318</v>
      </c>
      <c r="AA243" s="11" t="s">
        <v>10</v>
      </c>
      <c r="AB243" s="7">
        <f t="shared" si="71"/>
        <v>332.15384615384613</v>
      </c>
    </row>
    <row r="244" spans="14:28" ht="13.5">
      <c r="N244" s="3">
        <v>40042</v>
      </c>
      <c r="O244" t="s">
        <v>220</v>
      </c>
      <c r="P244" s="6"/>
      <c r="Q244" s="6">
        <v>700</v>
      </c>
      <c r="R244" s="6">
        <f>+R243+P244-Q244</f>
        <v>33874</v>
      </c>
      <c r="S244" s="11" t="s">
        <v>136</v>
      </c>
      <c r="T244" s="7">
        <f t="shared" si="72"/>
        <v>2258.266666666667</v>
      </c>
      <c r="V244" s="3">
        <v>40259</v>
      </c>
      <c r="W244" t="s">
        <v>17</v>
      </c>
      <c r="X244" s="6"/>
      <c r="Y244" s="6">
        <v>996</v>
      </c>
      <c r="Z244" s="6">
        <f t="shared" si="70"/>
        <v>3322</v>
      </c>
      <c r="AA244" s="11" t="s">
        <v>10</v>
      </c>
      <c r="AB244" s="7">
        <f t="shared" si="71"/>
        <v>332.2</v>
      </c>
    </row>
    <row r="245" spans="14:28" ht="13.5">
      <c r="N245" s="3">
        <v>40042</v>
      </c>
      <c r="O245" t="s">
        <v>50</v>
      </c>
      <c r="P245" s="6"/>
      <c r="Q245" s="6">
        <v>-313</v>
      </c>
      <c r="R245" s="6">
        <f>+R244+P245-Q245</f>
        <v>34187</v>
      </c>
      <c r="S245" s="11" t="s">
        <v>136</v>
      </c>
      <c r="T245" s="7">
        <f t="shared" si="72"/>
        <v>2279.133333333333</v>
      </c>
      <c r="V245" s="3">
        <v>40259</v>
      </c>
      <c r="W245" t="s">
        <v>602</v>
      </c>
      <c r="X245" s="6"/>
      <c r="Y245" s="6">
        <v>105</v>
      </c>
      <c r="Z245" s="6">
        <f t="shared" si="70"/>
        <v>3217</v>
      </c>
      <c r="AA245" s="11" t="s">
        <v>10</v>
      </c>
      <c r="AB245" s="7">
        <f t="shared" si="71"/>
        <v>321.7</v>
      </c>
    </row>
    <row r="246" spans="14:28" ht="13.5">
      <c r="N246" s="3">
        <v>40042</v>
      </c>
      <c r="O246" t="s">
        <v>697</v>
      </c>
      <c r="P246" s="6"/>
      <c r="Q246" s="6">
        <f>397+975</f>
        <v>1372</v>
      </c>
      <c r="R246" s="6">
        <f aca="true" t="shared" si="73" ref="R246:R293">+R245+P246-Q246</f>
        <v>32815</v>
      </c>
      <c r="S246" s="11" t="s">
        <v>136</v>
      </c>
      <c r="T246" s="7">
        <f t="shared" si="72"/>
        <v>2187.6666666666665</v>
      </c>
      <c r="V246" s="3">
        <v>40259</v>
      </c>
      <c r="W246" t="s">
        <v>294</v>
      </c>
      <c r="X246" s="6"/>
      <c r="Y246" s="6">
        <v>105</v>
      </c>
      <c r="Z246" s="6">
        <f t="shared" si="70"/>
        <v>3112</v>
      </c>
      <c r="AA246" s="11" t="s">
        <v>10</v>
      </c>
      <c r="AB246" s="7">
        <f t="shared" si="71"/>
        <v>311.2</v>
      </c>
    </row>
    <row r="247" spans="14:28" ht="13.5">
      <c r="N247" s="3">
        <v>40042</v>
      </c>
      <c r="O247" t="s">
        <v>211</v>
      </c>
      <c r="P247" s="6"/>
      <c r="Q247" s="6">
        <v>13650</v>
      </c>
      <c r="R247" s="6">
        <f t="shared" si="73"/>
        <v>19165</v>
      </c>
      <c r="S247" s="11" t="s">
        <v>136</v>
      </c>
      <c r="T247" s="7">
        <f t="shared" si="72"/>
        <v>1277.6666666666667</v>
      </c>
      <c r="V247" s="3">
        <v>40259</v>
      </c>
      <c r="W247" t="s">
        <v>547</v>
      </c>
      <c r="X247" s="6"/>
      <c r="Y247" s="6">
        <v>105</v>
      </c>
      <c r="Z247" s="6">
        <f t="shared" si="70"/>
        <v>3007</v>
      </c>
      <c r="AA247" s="11" t="s">
        <v>10</v>
      </c>
      <c r="AB247" s="7">
        <f t="shared" si="71"/>
        <v>300.7</v>
      </c>
    </row>
    <row r="248" spans="14:28" ht="13.5">
      <c r="N248" s="3">
        <v>40042</v>
      </c>
      <c r="O248" t="s">
        <v>183</v>
      </c>
      <c r="P248" s="6"/>
      <c r="Q248" s="6">
        <v>240</v>
      </c>
      <c r="R248" s="6">
        <f t="shared" si="73"/>
        <v>18925</v>
      </c>
      <c r="S248" s="11" t="s">
        <v>136</v>
      </c>
      <c r="T248" s="7">
        <f t="shared" si="72"/>
        <v>1261.6666666666667</v>
      </c>
      <c r="V248" s="3">
        <v>40259</v>
      </c>
      <c r="W248" t="s">
        <v>124</v>
      </c>
      <c r="Y248" s="6">
        <v>105</v>
      </c>
      <c r="Z248" s="6">
        <f t="shared" si="70"/>
        <v>2902</v>
      </c>
      <c r="AA248" s="11" t="s">
        <v>10</v>
      </c>
      <c r="AB248" s="7">
        <f t="shared" si="71"/>
        <v>290.2</v>
      </c>
    </row>
    <row r="249" spans="14:28" ht="13.5">
      <c r="N249" s="3">
        <v>40042</v>
      </c>
      <c r="O249" t="s">
        <v>17</v>
      </c>
      <c r="P249" s="6"/>
      <c r="Q249" s="6">
        <v>960</v>
      </c>
      <c r="R249" s="6">
        <f t="shared" si="73"/>
        <v>17965</v>
      </c>
      <c r="S249" s="11" t="s">
        <v>136</v>
      </c>
      <c r="T249" s="7">
        <f t="shared" si="72"/>
        <v>1197.6666666666667</v>
      </c>
      <c r="V249" s="3">
        <v>40259</v>
      </c>
      <c r="W249" t="s">
        <v>603</v>
      </c>
      <c r="Y249" s="6">
        <v>105</v>
      </c>
      <c r="Z249" s="6">
        <f t="shared" si="70"/>
        <v>2797</v>
      </c>
      <c r="AA249" s="11" t="s">
        <v>10</v>
      </c>
      <c r="AB249" s="7">
        <f t="shared" si="71"/>
        <v>279.7</v>
      </c>
    </row>
    <row r="250" spans="14:28" ht="13.5">
      <c r="N250" s="3">
        <v>40042</v>
      </c>
      <c r="O250" t="s">
        <v>192</v>
      </c>
      <c r="P250" s="6"/>
      <c r="Q250" s="6">
        <v>105</v>
      </c>
      <c r="R250" s="6">
        <f t="shared" si="73"/>
        <v>17860</v>
      </c>
      <c r="S250" s="11" t="s">
        <v>136</v>
      </c>
      <c r="T250" s="7">
        <f t="shared" si="72"/>
        <v>1190.6666666666667</v>
      </c>
      <c r="V250" s="3">
        <v>40261</v>
      </c>
      <c r="W250" t="s">
        <v>585</v>
      </c>
      <c r="Y250" s="6">
        <v>105</v>
      </c>
      <c r="Z250" s="6">
        <f t="shared" si="70"/>
        <v>2692</v>
      </c>
      <c r="AA250" s="11" t="s">
        <v>10</v>
      </c>
      <c r="AB250" s="7">
        <f t="shared" si="71"/>
        <v>336.5</v>
      </c>
    </row>
    <row r="251" spans="14:28" ht="13.5">
      <c r="N251" s="3">
        <v>40044</v>
      </c>
      <c r="O251" t="s">
        <v>221</v>
      </c>
      <c r="P251" s="6"/>
      <c r="Q251" s="6">
        <f>120*3</f>
        <v>360</v>
      </c>
      <c r="R251" s="6">
        <f t="shared" si="73"/>
        <v>17500</v>
      </c>
      <c r="S251" s="11" t="s">
        <v>136</v>
      </c>
      <c r="T251" s="7">
        <f t="shared" si="72"/>
        <v>1346.1538461538462</v>
      </c>
      <c r="V251" s="3">
        <v>40259</v>
      </c>
      <c r="W251" t="s">
        <v>126</v>
      </c>
      <c r="Y251" s="6">
        <v>105</v>
      </c>
      <c r="Z251" s="6">
        <f aca="true" t="shared" si="74" ref="Z251:Z261">+Z250+X251-Y251</f>
        <v>2587</v>
      </c>
      <c r="AA251" s="11" t="s">
        <v>10</v>
      </c>
      <c r="AB251" s="7">
        <f>+Z251/(40269-V251)</f>
        <v>258.7</v>
      </c>
    </row>
    <row r="252" spans="14:28" ht="13.5">
      <c r="N252" s="3">
        <v>40044</v>
      </c>
      <c r="O252" t="s">
        <v>222</v>
      </c>
      <c r="P252" s="6"/>
      <c r="Q252" s="6">
        <f>105*2</f>
        <v>210</v>
      </c>
      <c r="R252" s="6">
        <f t="shared" si="73"/>
        <v>17290</v>
      </c>
      <c r="S252" s="11" t="s">
        <v>136</v>
      </c>
      <c r="T252" s="7">
        <f t="shared" si="72"/>
        <v>1330</v>
      </c>
      <c r="V252" s="3">
        <v>40259</v>
      </c>
      <c r="W252" t="s">
        <v>40</v>
      </c>
      <c r="Y252" s="6">
        <v>120</v>
      </c>
      <c r="Z252" s="6">
        <f t="shared" si="74"/>
        <v>2467</v>
      </c>
      <c r="AA252" s="11" t="s">
        <v>10</v>
      </c>
      <c r="AB252" s="7">
        <f>+Z252/(40269-V252)</f>
        <v>246.7</v>
      </c>
    </row>
    <row r="253" spans="14:28" ht="13.5">
      <c r="N253" s="3">
        <v>40044</v>
      </c>
      <c r="O253" t="s">
        <v>223</v>
      </c>
      <c r="P253" s="6"/>
      <c r="Q253" s="6">
        <v>209</v>
      </c>
      <c r="R253" s="6">
        <f t="shared" si="73"/>
        <v>17081</v>
      </c>
      <c r="S253" s="11" t="s">
        <v>136</v>
      </c>
      <c r="T253" s="7">
        <f t="shared" si="72"/>
        <v>1313.923076923077</v>
      </c>
      <c r="V253" s="3">
        <v>40261</v>
      </c>
      <c r="W253" t="s">
        <v>127</v>
      </c>
      <c r="X253" s="6"/>
      <c r="Y253" s="6">
        <v>105</v>
      </c>
      <c r="Z253" s="6">
        <f aca="true" t="shared" si="75" ref="Z253:Z258">+Z252+X253-Y253</f>
        <v>2362</v>
      </c>
      <c r="AA253" s="11" t="s">
        <v>10</v>
      </c>
      <c r="AB253" s="7">
        <f aca="true" t="shared" si="76" ref="AB253:AB258">+Z253/(40269-V253)</f>
        <v>295.25</v>
      </c>
    </row>
    <row r="254" spans="14:28" ht="13.5">
      <c r="N254" s="3">
        <v>40044</v>
      </c>
      <c r="O254" t="s">
        <v>224</v>
      </c>
      <c r="P254" s="6"/>
      <c r="Q254" s="6">
        <f>210+105</f>
        <v>315</v>
      </c>
      <c r="R254" s="6">
        <f t="shared" si="73"/>
        <v>16766</v>
      </c>
      <c r="S254" s="11" t="s">
        <v>136</v>
      </c>
      <c r="T254" s="7">
        <f aca="true" t="shared" si="77" ref="T254:T298">+R254/(40057-N254)</f>
        <v>1289.6923076923076</v>
      </c>
      <c r="V254" s="3">
        <v>40261</v>
      </c>
      <c r="W254" t="s">
        <v>604</v>
      </c>
      <c r="X254" s="6"/>
      <c r="Y254" s="6">
        <v>105</v>
      </c>
      <c r="Z254" s="6">
        <f t="shared" si="75"/>
        <v>2257</v>
      </c>
      <c r="AA254" s="11" t="s">
        <v>10</v>
      </c>
      <c r="AB254" s="7">
        <f t="shared" si="76"/>
        <v>282.125</v>
      </c>
    </row>
    <row r="255" spans="14:28" ht="13.5">
      <c r="N255" s="3">
        <v>40044</v>
      </c>
      <c r="O255" t="s">
        <v>225</v>
      </c>
      <c r="P255" s="6"/>
      <c r="Q255" s="6">
        <v>105</v>
      </c>
      <c r="R255" s="6">
        <f t="shared" si="73"/>
        <v>16661</v>
      </c>
      <c r="S255" s="11" t="s">
        <v>136</v>
      </c>
      <c r="T255" s="7">
        <f t="shared" si="77"/>
        <v>1281.6153846153845</v>
      </c>
      <c r="V255" s="3">
        <v>40261</v>
      </c>
      <c r="W255" t="s">
        <v>605</v>
      </c>
      <c r="X255" s="6"/>
      <c r="Y255" s="6">
        <f>105*4-20-64</f>
        <v>336</v>
      </c>
      <c r="Z255" s="6">
        <f t="shared" si="75"/>
        <v>1921</v>
      </c>
      <c r="AA255" s="11" t="s">
        <v>10</v>
      </c>
      <c r="AB255" s="7">
        <f t="shared" si="76"/>
        <v>240.125</v>
      </c>
    </row>
    <row r="256" spans="14:28" ht="13.5">
      <c r="N256" s="3">
        <v>40044</v>
      </c>
      <c r="O256" t="s">
        <v>226</v>
      </c>
      <c r="Q256" s="6">
        <f>105*2</f>
        <v>210</v>
      </c>
      <c r="R256" s="6">
        <f t="shared" si="73"/>
        <v>16451</v>
      </c>
      <c r="S256" s="11" t="s">
        <v>136</v>
      </c>
      <c r="T256" s="7">
        <f t="shared" si="77"/>
        <v>1265.4615384615386</v>
      </c>
      <c r="V256" s="3">
        <v>40261</v>
      </c>
      <c r="W256" t="s">
        <v>122</v>
      </c>
      <c r="X256" s="6"/>
      <c r="Y256" s="6">
        <v>105</v>
      </c>
      <c r="Z256" s="6">
        <f t="shared" si="75"/>
        <v>1816</v>
      </c>
      <c r="AA256" s="11" t="s">
        <v>10</v>
      </c>
      <c r="AB256" s="7">
        <f t="shared" si="76"/>
        <v>227</v>
      </c>
    </row>
    <row r="257" spans="14:28" ht="13.5">
      <c r="N257" s="3">
        <v>40044</v>
      </c>
      <c r="O257" t="s">
        <v>227</v>
      </c>
      <c r="P257" s="6"/>
      <c r="Q257" s="6">
        <f>105*2</f>
        <v>210</v>
      </c>
      <c r="R257" s="6">
        <f t="shared" si="73"/>
        <v>16241</v>
      </c>
      <c r="S257" s="11" t="s">
        <v>136</v>
      </c>
      <c r="T257" s="7">
        <f t="shared" si="77"/>
        <v>1249.3076923076924</v>
      </c>
      <c r="V257" s="3">
        <v>40263</v>
      </c>
      <c r="W257" t="s">
        <v>517</v>
      </c>
      <c r="X257" s="6"/>
      <c r="Y257" s="6">
        <v>498</v>
      </c>
      <c r="Z257" s="6">
        <f t="shared" si="75"/>
        <v>1318</v>
      </c>
      <c r="AA257" s="11" t="s">
        <v>10</v>
      </c>
      <c r="AB257" s="7">
        <f t="shared" si="76"/>
        <v>219.66666666666666</v>
      </c>
    </row>
    <row r="258" spans="14:28" ht="13.5">
      <c r="N258" s="3">
        <v>40046</v>
      </c>
      <c r="O258" t="s">
        <v>17</v>
      </c>
      <c r="P258" s="6"/>
      <c r="Q258" s="6">
        <v>960</v>
      </c>
      <c r="R258" s="6">
        <f t="shared" si="73"/>
        <v>15281</v>
      </c>
      <c r="S258" s="11" t="s">
        <v>136</v>
      </c>
      <c r="T258" s="7">
        <f t="shared" si="77"/>
        <v>1389.1818181818182</v>
      </c>
      <c r="V258" s="3">
        <v>40263</v>
      </c>
      <c r="W258" t="s">
        <v>607</v>
      </c>
      <c r="X258" s="6"/>
      <c r="Y258" s="6">
        <v>105</v>
      </c>
      <c r="Z258" s="6">
        <f t="shared" si="75"/>
        <v>1213</v>
      </c>
      <c r="AA258" s="11" t="s">
        <v>10</v>
      </c>
      <c r="AB258" s="7">
        <f t="shared" si="76"/>
        <v>202.16666666666666</v>
      </c>
    </row>
    <row r="259" spans="14:28" ht="13.5">
      <c r="N259" s="3">
        <v>40046</v>
      </c>
      <c r="O259" t="s">
        <v>228</v>
      </c>
      <c r="P259" s="6"/>
      <c r="Q259" s="6">
        <v>5336</v>
      </c>
      <c r="R259" s="6">
        <f t="shared" si="73"/>
        <v>9945</v>
      </c>
      <c r="S259" s="11" t="s">
        <v>136</v>
      </c>
      <c r="T259" s="7">
        <f t="shared" si="77"/>
        <v>904.0909090909091</v>
      </c>
      <c r="V259" s="3">
        <v>40263</v>
      </c>
      <c r="W259" t="s">
        <v>608</v>
      </c>
      <c r="X259" s="6"/>
      <c r="Y259" s="6">
        <v>31</v>
      </c>
      <c r="Z259" s="6">
        <f t="shared" si="74"/>
        <v>1182</v>
      </c>
      <c r="AA259" s="11" t="s">
        <v>10</v>
      </c>
      <c r="AB259" s="7">
        <f aca="true" t="shared" si="78" ref="AB259:AB267">+Z259/(40269-V259)</f>
        <v>197</v>
      </c>
    </row>
    <row r="260" spans="14:28" ht="13.5">
      <c r="N260" s="3">
        <v>40046</v>
      </c>
      <c r="O260" t="s">
        <v>129</v>
      </c>
      <c r="Q260" s="6">
        <v>396</v>
      </c>
      <c r="R260" s="6">
        <f t="shared" si="73"/>
        <v>9549</v>
      </c>
      <c r="S260" s="11" t="s">
        <v>136</v>
      </c>
      <c r="T260" s="7">
        <f t="shared" si="77"/>
        <v>868.0909090909091</v>
      </c>
      <c r="V260" s="3">
        <v>40263</v>
      </c>
      <c r="W260" t="s">
        <v>603</v>
      </c>
      <c r="X260" s="6"/>
      <c r="Y260" s="6">
        <v>105</v>
      </c>
      <c r="Z260" s="6">
        <f t="shared" si="74"/>
        <v>1077</v>
      </c>
      <c r="AA260" s="11" t="s">
        <v>10</v>
      </c>
      <c r="AB260" s="7">
        <f t="shared" si="78"/>
        <v>179.5</v>
      </c>
    </row>
    <row r="261" spans="14:28" ht="13.5">
      <c r="N261" s="3">
        <v>40046</v>
      </c>
      <c r="O261" t="s">
        <v>124</v>
      </c>
      <c r="P261" s="6"/>
      <c r="Q261" s="6">
        <f>105*2</f>
        <v>210</v>
      </c>
      <c r="R261" s="6">
        <f t="shared" si="73"/>
        <v>9339</v>
      </c>
      <c r="S261" s="11" t="s">
        <v>136</v>
      </c>
      <c r="T261" s="7">
        <f t="shared" si="77"/>
        <v>849</v>
      </c>
      <c r="V261" s="3">
        <v>40263</v>
      </c>
      <c r="W261" t="s">
        <v>609</v>
      </c>
      <c r="X261" s="6"/>
      <c r="Y261" s="6">
        <v>105</v>
      </c>
      <c r="Z261" s="6">
        <f t="shared" si="74"/>
        <v>972</v>
      </c>
      <c r="AA261" s="11" t="s">
        <v>10</v>
      </c>
      <c r="AB261" s="7">
        <f t="shared" si="78"/>
        <v>162</v>
      </c>
    </row>
    <row r="262" spans="14:28" ht="13.5">
      <c r="N262" s="3">
        <v>40046</v>
      </c>
      <c r="O262" t="s">
        <v>229</v>
      </c>
      <c r="Q262" s="6">
        <v>105</v>
      </c>
      <c r="R262" s="6">
        <f t="shared" si="73"/>
        <v>9234</v>
      </c>
      <c r="S262" s="11" t="s">
        <v>136</v>
      </c>
      <c r="T262" s="7">
        <f t="shared" si="77"/>
        <v>839.4545454545455</v>
      </c>
      <c r="V262" s="3">
        <v>40263</v>
      </c>
      <c r="W262" t="s">
        <v>126</v>
      </c>
      <c r="Y262" s="7">
        <v>105</v>
      </c>
      <c r="Z262" s="6">
        <f aca="true" t="shared" si="79" ref="Z262:Z267">+Z261+X262-Y262</f>
        <v>867</v>
      </c>
      <c r="AA262" s="11" t="s">
        <v>10</v>
      </c>
      <c r="AB262" s="7">
        <f t="shared" si="78"/>
        <v>144.5</v>
      </c>
    </row>
    <row r="263" spans="14:28" ht="13.5">
      <c r="N263" s="3">
        <v>40046</v>
      </c>
      <c r="O263" t="s">
        <v>230</v>
      </c>
      <c r="Q263" s="6">
        <v>525</v>
      </c>
      <c r="R263" s="6">
        <f t="shared" si="73"/>
        <v>8709</v>
      </c>
      <c r="S263" s="11" t="s">
        <v>136</v>
      </c>
      <c r="T263" s="7">
        <f t="shared" si="77"/>
        <v>791.7272727272727</v>
      </c>
      <c r="V263" s="3">
        <v>40266</v>
      </c>
      <c r="W263" t="s">
        <v>610</v>
      </c>
      <c r="X263" s="6">
        <v>996</v>
      </c>
      <c r="Y263" s="6">
        <f>498*2</f>
        <v>996</v>
      </c>
      <c r="Z263" s="6">
        <f t="shared" si="79"/>
        <v>867</v>
      </c>
      <c r="AA263" s="11" t="s">
        <v>10</v>
      </c>
      <c r="AB263" s="7">
        <f t="shared" si="78"/>
        <v>289</v>
      </c>
    </row>
    <row r="264" spans="14:28" ht="13.5">
      <c r="N264" s="3">
        <v>40046</v>
      </c>
      <c r="O264" t="s">
        <v>698</v>
      </c>
      <c r="Q264" s="6">
        <v>140</v>
      </c>
      <c r="R264" s="6">
        <f t="shared" si="73"/>
        <v>8569</v>
      </c>
      <c r="S264" s="11" t="s">
        <v>136</v>
      </c>
      <c r="T264" s="7">
        <f t="shared" si="77"/>
        <v>779</v>
      </c>
      <c r="V264" s="3">
        <v>40266</v>
      </c>
      <c r="W264" t="s">
        <v>611</v>
      </c>
      <c r="X264" s="6"/>
      <c r="Y264" s="6">
        <v>300</v>
      </c>
      <c r="Z264" s="6">
        <f t="shared" si="79"/>
        <v>567</v>
      </c>
      <c r="AA264" s="11" t="s">
        <v>10</v>
      </c>
      <c r="AB264" s="7">
        <f t="shared" si="78"/>
        <v>189</v>
      </c>
    </row>
    <row r="265" spans="14:28" ht="13.5">
      <c r="N265" s="3">
        <v>40046</v>
      </c>
      <c r="O265" t="s">
        <v>231</v>
      </c>
      <c r="P265" s="6"/>
      <c r="Q265" s="6">
        <v>120</v>
      </c>
      <c r="R265" s="6">
        <f t="shared" si="73"/>
        <v>8449</v>
      </c>
      <c r="S265" s="11" t="s">
        <v>136</v>
      </c>
      <c r="T265" s="7">
        <f t="shared" si="77"/>
        <v>768.0909090909091</v>
      </c>
      <c r="V265" s="3">
        <v>40266</v>
      </c>
      <c r="W265" t="s">
        <v>294</v>
      </c>
      <c r="Y265" s="6">
        <v>198</v>
      </c>
      <c r="Z265" s="6">
        <f t="shared" si="79"/>
        <v>369</v>
      </c>
      <c r="AA265" s="11" t="s">
        <v>10</v>
      </c>
      <c r="AB265" s="7">
        <f t="shared" si="78"/>
        <v>123</v>
      </c>
    </row>
    <row r="266" spans="14:28" ht="13.5">
      <c r="N266" s="3">
        <v>40049</v>
      </c>
      <c r="O266" t="s">
        <v>17</v>
      </c>
      <c r="Q266" s="6">
        <v>960</v>
      </c>
      <c r="R266" s="6">
        <f t="shared" si="73"/>
        <v>7489</v>
      </c>
      <c r="S266" s="11" t="s">
        <v>136</v>
      </c>
      <c r="T266" s="7">
        <f t="shared" si="77"/>
        <v>936.125</v>
      </c>
      <c r="V266" s="3">
        <v>40266</v>
      </c>
      <c r="W266" t="s">
        <v>126</v>
      </c>
      <c r="X266" s="6"/>
      <c r="Y266" s="6">
        <v>105</v>
      </c>
      <c r="Z266" s="6">
        <f t="shared" si="79"/>
        <v>264</v>
      </c>
      <c r="AA266" s="11" t="s">
        <v>10</v>
      </c>
      <c r="AB266" s="7">
        <f t="shared" si="78"/>
        <v>88</v>
      </c>
    </row>
    <row r="267" spans="14:28" ht="13.5">
      <c r="N267" s="3">
        <v>40049</v>
      </c>
      <c r="O267" t="s">
        <v>149</v>
      </c>
      <c r="Q267" s="6">
        <v>169</v>
      </c>
      <c r="R267" s="6">
        <f t="shared" si="73"/>
        <v>7320</v>
      </c>
      <c r="S267" s="11" t="s">
        <v>136</v>
      </c>
      <c r="T267" s="7">
        <f t="shared" si="77"/>
        <v>915</v>
      </c>
      <c r="V267" s="3">
        <v>40266</v>
      </c>
      <c r="W267" t="s">
        <v>612</v>
      </c>
      <c r="Y267" s="6">
        <v>100</v>
      </c>
      <c r="Z267" s="6">
        <f t="shared" si="79"/>
        <v>164</v>
      </c>
      <c r="AA267" s="11" t="s">
        <v>10</v>
      </c>
      <c r="AB267" s="7">
        <f t="shared" si="78"/>
        <v>54.666666666666664</v>
      </c>
    </row>
    <row r="268" spans="14:28" ht="13.5">
      <c r="N268" s="3">
        <v>40049</v>
      </c>
      <c r="O268" t="s">
        <v>233</v>
      </c>
      <c r="Q268" s="6">
        <v>173</v>
      </c>
      <c r="R268" s="6">
        <f t="shared" si="73"/>
        <v>7147</v>
      </c>
      <c r="S268" s="11" t="s">
        <v>136</v>
      </c>
      <c r="T268" s="7">
        <f t="shared" si="77"/>
        <v>893.375</v>
      </c>
      <c r="V268" s="3">
        <v>40268</v>
      </c>
      <c r="W268" t="s">
        <v>606</v>
      </c>
      <c r="Y268" s="6">
        <v>0</v>
      </c>
      <c r="Z268" s="6">
        <f aca="true" t="shared" si="80" ref="Z268:Z292">+Z267+X268-Y268</f>
        <v>164</v>
      </c>
      <c r="AA268" s="11" t="s">
        <v>10</v>
      </c>
      <c r="AB268" s="7">
        <f>+Z268/(40299-V268)</f>
        <v>5.290322580645161</v>
      </c>
    </row>
    <row r="269" spans="14:28" ht="13.5">
      <c r="N269" s="3">
        <v>40049</v>
      </c>
      <c r="O269" t="s">
        <v>234</v>
      </c>
      <c r="P269" s="6"/>
      <c r="Q269" s="6">
        <v>812</v>
      </c>
      <c r="R269" s="6">
        <f t="shared" si="73"/>
        <v>6335</v>
      </c>
      <c r="S269" s="11" t="s">
        <v>136</v>
      </c>
      <c r="T269" s="7">
        <f t="shared" si="77"/>
        <v>791.875</v>
      </c>
      <c r="V269" s="3">
        <v>40269</v>
      </c>
      <c r="W269" t="s">
        <v>29</v>
      </c>
      <c r="X269" s="7">
        <v>42000</v>
      </c>
      <c r="Z269" s="6">
        <f t="shared" si="80"/>
        <v>42164</v>
      </c>
      <c r="AA269" s="11" t="s">
        <v>10</v>
      </c>
      <c r="AB269" s="7">
        <f aca="true" t="shared" si="81" ref="AB269:AB292">+Z269/(40299-V269)</f>
        <v>1405.4666666666667</v>
      </c>
    </row>
    <row r="270" spans="14:28" ht="13.5">
      <c r="N270" s="3">
        <v>40049</v>
      </c>
      <c r="O270" t="s">
        <v>235</v>
      </c>
      <c r="P270" s="6"/>
      <c r="Q270" s="6">
        <v>105</v>
      </c>
      <c r="R270" s="6">
        <f t="shared" si="73"/>
        <v>6230</v>
      </c>
      <c r="S270" s="11" t="s">
        <v>136</v>
      </c>
      <c r="T270" s="7">
        <f t="shared" si="77"/>
        <v>778.75</v>
      </c>
      <c r="V270" s="3">
        <v>40269</v>
      </c>
      <c r="W270" t="s">
        <v>613</v>
      </c>
      <c r="X270" s="6"/>
      <c r="Y270" s="6">
        <v>430</v>
      </c>
      <c r="Z270" s="6">
        <f t="shared" si="80"/>
        <v>41734</v>
      </c>
      <c r="AA270" s="11" t="s">
        <v>10</v>
      </c>
      <c r="AB270" s="7">
        <f t="shared" si="81"/>
        <v>1391.1333333333334</v>
      </c>
    </row>
    <row r="271" spans="14:28" ht="13.5">
      <c r="N271" s="3">
        <v>40049</v>
      </c>
      <c r="O271" t="s">
        <v>236</v>
      </c>
      <c r="Q271" s="6">
        <f>195*2</f>
        <v>390</v>
      </c>
      <c r="R271" s="6">
        <f t="shared" si="73"/>
        <v>5840</v>
      </c>
      <c r="S271" s="11" t="s">
        <v>136</v>
      </c>
      <c r="T271" s="7">
        <f t="shared" si="77"/>
        <v>730</v>
      </c>
      <c r="V271" s="3">
        <v>40269</v>
      </c>
      <c r="W271" t="s">
        <v>192</v>
      </c>
      <c r="Y271" s="7">
        <v>105</v>
      </c>
      <c r="Z271" s="6">
        <f t="shared" si="80"/>
        <v>41629</v>
      </c>
      <c r="AA271" s="11" t="s">
        <v>10</v>
      </c>
      <c r="AB271" s="7">
        <f t="shared" si="81"/>
        <v>1387.6333333333334</v>
      </c>
    </row>
    <row r="272" spans="14:28" ht="13.5">
      <c r="N272" s="3">
        <v>40049</v>
      </c>
      <c r="O272" t="s">
        <v>126</v>
      </c>
      <c r="P272" s="6"/>
      <c r="Q272" s="6">
        <v>105</v>
      </c>
      <c r="R272" s="6">
        <f t="shared" si="73"/>
        <v>5735</v>
      </c>
      <c r="S272" s="11" t="s">
        <v>136</v>
      </c>
      <c r="T272" s="7">
        <f t="shared" si="77"/>
        <v>716.875</v>
      </c>
      <c r="V272" s="3">
        <v>40269</v>
      </c>
      <c r="W272" t="s">
        <v>614</v>
      </c>
      <c r="Y272" s="7">
        <v>105</v>
      </c>
      <c r="Z272" s="6">
        <f t="shared" si="80"/>
        <v>41524</v>
      </c>
      <c r="AA272" s="11" t="s">
        <v>10</v>
      </c>
      <c r="AB272" s="7">
        <f t="shared" si="81"/>
        <v>1384.1333333333334</v>
      </c>
    </row>
    <row r="273" spans="14:28" ht="13.5">
      <c r="N273" s="3">
        <v>40049</v>
      </c>
      <c r="O273" t="s">
        <v>237</v>
      </c>
      <c r="P273" s="6"/>
      <c r="Q273" s="6">
        <v>0</v>
      </c>
      <c r="R273" s="6">
        <f t="shared" si="73"/>
        <v>5735</v>
      </c>
      <c r="S273" s="11" t="s">
        <v>136</v>
      </c>
      <c r="T273" s="7">
        <f t="shared" si="77"/>
        <v>716.875</v>
      </c>
      <c r="V273" s="3">
        <v>40269</v>
      </c>
      <c r="W273" t="s">
        <v>534</v>
      </c>
      <c r="Y273" s="7">
        <v>105</v>
      </c>
      <c r="Z273" s="6">
        <f t="shared" si="80"/>
        <v>41419</v>
      </c>
      <c r="AA273" s="11" t="s">
        <v>10</v>
      </c>
      <c r="AB273" s="7">
        <f t="shared" si="81"/>
        <v>1380.6333333333334</v>
      </c>
    </row>
    <row r="274" spans="14:28" ht="13.5">
      <c r="N274" s="3">
        <v>40049</v>
      </c>
      <c r="O274" t="s">
        <v>238</v>
      </c>
      <c r="P274" s="6"/>
      <c r="Q274" s="6">
        <v>700</v>
      </c>
      <c r="R274" s="6">
        <f t="shared" si="73"/>
        <v>5035</v>
      </c>
      <c r="S274" s="11" t="s">
        <v>136</v>
      </c>
      <c r="T274" s="7">
        <f t="shared" si="77"/>
        <v>629.375</v>
      </c>
      <c r="V274" s="3">
        <v>40269</v>
      </c>
      <c r="W274" t="s">
        <v>615</v>
      </c>
      <c r="Y274" s="7">
        <f>105*2</f>
        <v>210</v>
      </c>
      <c r="Z274" s="6">
        <f t="shared" si="80"/>
        <v>41209</v>
      </c>
      <c r="AA274" s="11" t="s">
        <v>10</v>
      </c>
      <c r="AB274" s="7">
        <f t="shared" si="81"/>
        <v>1373.6333333333334</v>
      </c>
    </row>
    <row r="275" spans="14:28" ht="13.5">
      <c r="N275" s="3">
        <v>40051</v>
      </c>
      <c r="O275" t="s">
        <v>145</v>
      </c>
      <c r="P275" s="6"/>
      <c r="Q275" s="6">
        <v>900</v>
      </c>
      <c r="R275" s="6">
        <f t="shared" si="73"/>
        <v>4135</v>
      </c>
      <c r="S275" s="11" t="s">
        <v>136</v>
      </c>
      <c r="T275" s="7">
        <f t="shared" si="77"/>
        <v>689.1666666666666</v>
      </c>
      <c r="V275" s="3">
        <v>40269</v>
      </c>
      <c r="W275" t="s">
        <v>616</v>
      </c>
      <c r="Y275" s="7">
        <f>105*2</f>
        <v>210</v>
      </c>
      <c r="Z275" s="6">
        <f t="shared" si="80"/>
        <v>40999</v>
      </c>
      <c r="AA275" s="11" t="s">
        <v>10</v>
      </c>
      <c r="AB275" s="7">
        <f t="shared" si="81"/>
        <v>1366.6333333333334</v>
      </c>
    </row>
    <row r="276" spans="14:28" ht="13.5">
      <c r="N276" s="3">
        <v>40051</v>
      </c>
      <c r="O276" t="s">
        <v>239</v>
      </c>
      <c r="P276" s="6"/>
      <c r="Q276" s="6">
        <v>2099</v>
      </c>
      <c r="R276" s="6">
        <f t="shared" si="73"/>
        <v>2036</v>
      </c>
      <c r="S276" s="11" t="s">
        <v>136</v>
      </c>
      <c r="T276" s="7">
        <f t="shared" si="77"/>
        <v>339.3333333333333</v>
      </c>
      <c r="V276" s="3">
        <v>40269</v>
      </c>
      <c r="W276" t="s">
        <v>617</v>
      </c>
      <c r="Y276" s="7">
        <f>105*2</f>
        <v>210</v>
      </c>
      <c r="Z276" s="6">
        <f t="shared" si="80"/>
        <v>40789</v>
      </c>
      <c r="AA276" s="11" t="s">
        <v>10</v>
      </c>
      <c r="AB276" s="7">
        <f t="shared" si="81"/>
        <v>1359.6333333333334</v>
      </c>
    </row>
    <row r="277" spans="14:28" ht="13.5">
      <c r="N277" s="3">
        <v>40051</v>
      </c>
      <c r="O277" t="s">
        <v>103</v>
      </c>
      <c r="P277" s="6">
        <v>28000</v>
      </c>
      <c r="Q277" s="6"/>
      <c r="R277" s="6">
        <f t="shared" si="73"/>
        <v>30036</v>
      </c>
      <c r="S277" s="11" t="s">
        <v>136</v>
      </c>
      <c r="T277" s="7">
        <f t="shared" si="77"/>
        <v>5006</v>
      </c>
      <c r="V277" s="3">
        <v>40269</v>
      </c>
      <c r="W277" t="s">
        <v>618</v>
      </c>
      <c r="Y277" s="7">
        <f>105*2</f>
        <v>210</v>
      </c>
      <c r="Z277" s="6">
        <f t="shared" si="80"/>
        <v>40579</v>
      </c>
      <c r="AA277" s="11" t="s">
        <v>10</v>
      </c>
      <c r="AB277" s="7">
        <f t="shared" si="81"/>
        <v>1352.6333333333334</v>
      </c>
    </row>
    <row r="278" spans="14:28" ht="13.5">
      <c r="N278" s="3">
        <v>40051</v>
      </c>
      <c r="O278" t="s">
        <v>43</v>
      </c>
      <c r="Q278" s="6">
        <v>3600</v>
      </c>
      <c r="R278" s="6">
        <f t="shared" si="73"/>
        <v>26436</v>
      </c>
      <c r="S278" s="11" t="s">
        <v>136</v>
      </c>
      <c r="T278" s="7">
        <f t="shared" si="77"/>
        <v>4406</v>
      </c>
      <c r="V278" s="3">
        <v>40269</v>
      </c>
      <c r="W278" t="s">
        <v>619</v>
      </c>
      <c r="Y278" s="7">
        <f>105*3</f>
        <v>315</v>
      </c>
      <c r="Z278" s="6">
        <f t="shared" si="80"/>
        <v>40264</v>
      </c>
      <c r="AA278" s="11" t="s">
        <v>10</v>
      </c>
      <c r="AB278" s="7">
        <f t="shared" si="81"/>
        <v>1342.1333333333334</v>
      </c>
    </row>
    <row r="279" spans="14:28" ht="13.5">
      <c r="N279" s="3">
        <v>40051</v>
      </c>
      <c r="O279" t="s">
        <v>240</v>
      </c>
      <c r="P279" s="6"/>
      <c r="Q279" s="6">
        <v>5</v>
      </c>
      <c r="R279" s="6">
        <f t="shared" si="73"/>
        <v>26431</v>
      </c>
      <c r="S279" s="11" t="s">
        <v>136</v>
      </c>
      <c r="T279" s="7">
        <f t="shared" si="77"/>
        <v>4405.166666666667</v>
      </c>
      <c r="V279" s="3">
        <v>40269</v>
      </c>
      <c r="W279" t="s">
        <v>120</v>
      </c>
      <c r="Y279" s="7">
        <v>513</v>
      </c>
      <c r="Z279" s="6">
        <f t="shared" si="80"/>
        <v>39751</v>
      </c>
      <c r="AA279" s="11" t="s">
        <v>10</v>
      </c>
      <c r="AB279" s="7">
        <f t="shared" si="81"/>
        <v>1325.0333333333333</v>
      </c>
    </row>
    <row r="280" spans="14:28" ht="13.5">
      <c r="N280" s="3">
        <v>40053</v>
      </c>
      <c r="O280" t="s">
        <v>241</v>
      </c>
      <c r="P280" s="6"/>
      <c r="Q280" s="6">
        <v>198</v>
      </c>
      <c r="R280" s="6">
        <f t="shared" si="73"/>
        <v>26233</v>
      </c>
      <c r="S280" s="11" t="s">
        <v>136</v>
      </c>
      <c r="T280" s="7">
        <f t="shared" si="77"/>
        <v>6558.25</v>
      </c>
      <c r="V280" s="3">
        <v>40269</v>
      </c>
      <c r="W280" t="s">
        <v>39</v>
      </c>
      <c r="Y280" s="7">
        <f>195*2+150</f>
        <v>540</v>
      </c>
      <c r="Z280" s="6">
        <f t="shared" si="80"/>
        <v>39211</v>
      </c>
      <c r="AA280" s="11" t="s">
        <v>10</v>
      </c>
      <c r="AB280" s="7">
        <f t="shared" si="81"/>
        <v>1307.0333333333333</v>
      </c>
    </row>
    <row r="281" spans="14:28" ht="13.5">
      <c r="N281" s="3">
        <v>40053</v>
      </c>
      <c r="O281" t="s">
        <v>242</v>
      </c>
      <c r="P281" s="6"/>
      <c r="Q281" s="6">
        <v>598</v>
      </c>
      <c r="R281" s="6">
        <f t="shared" si="73"/>
        <v>25635</v>
      </c>
      <c r="S281" s="11" t="s">
        <v>136</v>
      </c>
      <c r="T281" s="7">
        <f t="shared" si="77"/>
        <v>6408.75</v>
      </c>
      <c r="V281" s="3">
        <v>40269</v>
      </c>
      <c r="W281" t="s">
        <v>620</v>
      </c>
      <c r="Y281" s="7">
        <v>105</v>
      </c>
      <c r="Z281" s="6">
        <f t="shared" si="80"/>
        <v>39106</v>
      </c>
      <c r="AA281" s="11" t="s">
        <v>10</v>
      </c>
      <c r="AB281" s="7">
        <f t="shared" si="81"/>
        <v>1303.5333333333333</v>
      </c>
    </row>
    <row r="282" spans="14:28" ht="13.5">
      <c r="N282" s="3">
        <v>40053</v>
      </c>
      <c r="O282" t="s">
        <v>17</v>
      </c>
      <c r="P282" s="6"/>
      <c r="Q282" s="6">
        <v>996</v>
      </c>
      <c r="R282" s="6">
        <f t="shared" si="73"/>
        <v>24639</v>
      </c>
      <c r="S282" s="11" t="s">
        <v>136</v>
      </c>
      <c r="T282" s="7">
        <f t="shared" si="77"/>
        <v>6159.75</v>
      </c>
      <c r="V282" s="3">
        <v>40269</v>
      </c>
      <c r="W282" t="s">
        <v>621</v>
      </c>
      <c r="Y282" s="7">
        <f>105*2</f>
        <v>210</v>
      </c>
      <c r="Z282" s="6">
        <f t="shared" si="80"/>
        <v>38896</v>
      </c>
      <c r="AA282" s="11" t="s">
        <v>10</v>
      </c>
      <c r="AB282" s="7">
        <f t="shared" si="81"/>
        <v>1296.5333333333333</v>
      </c>
    </row>
    <row r="283" spans="14:28" ht="13.5">
      <c r="N283" s="3">
        <v>40053</v>
      </c>
      <c r="O283" t="s">
        <v>126</v>
      </c>
      <c r="P283" s="6"/>
      <c r="Q283" s="6">
        <v>158</v>
      </c>
      <c r="R283" s="6">
        <f t="shared" si="73"/>
        <v>24481</v>
      </c>
      <c r="S283" s="11" t="s">
        <v>136</v>
      </c>
      <c r="T283" s="7">
        <f t="shared" si="77"/>
        <v>6120.25</v>
      </c>
      <c r="V283" s="3">
        <v>40269</v>
      </c>
      <c r="W283" t="s">
        <v>540</v>
      </c>
      <c r="Y283" s="7">
        <v>105</v>
      </c>
      <c r="Z283" s="6">
        <f t="shared" si="80"/>
        <v>38791</v>
      </c>
      <c r="AA283" s="11" t="s">
        <v>10</v>
      </c>
      <c r="AB283" s="7">
        <f t="shared" si="81"/>
        <v>1293.0333333333333</v>
      </c>
    </row>
    <row r="284" spans="14:28" ht="13.5">
      <c r="N284" s="3">
        <v>40053</v>
      </c>
      <c r="O284" t="s">
        <v>243</v>
      </c>
      <c r="P284" s="6"/>
      <c r="Q284" s="6">
        <v>258</v>
      </c>
      <c r="R284" s="6">
        <f t="shared" si="73"/>
        <v>24223</v>
      </c>
      <c r="S284" s="11" t="s">
        <v>136</v>
      </c>
      <c r="T284" s="7">
        <f t="shared" si="77"/>
        <v>6055.75</v>
      </c>
      <c r="V284" s="3">
        <v>40269</v>
      </c>
      <c r="W284" t="s">
        <v>622</v>
      </c>
      <c r="Y284" s="7">
        <f>93*2</f>
        <v>186</v>
      </c>
      <c r="Z284" s="6">
        <f t="shared" si="80"/>
        <v>38605</v>
      </c>
      <c r="AA284" s="11" t="s">
        <v>10</v>
      </c>
      <c r="AB284" s="7">
        <f t="shared" si="81"/>
        <v>1286.8333333333333</v>
      </c>
    </row>
    <row r="285" spans="14:28" ht="13.5">
      <c r="N285" s="3">
        <v>40053</v>
      </c>
      <c r="O285" t="s">
        <v>244</v>
      </c>
      <c r="P285" s="6"/>
      <c r="Q285" s="6">
        <v>398</v>
      </c>
      <c r="R285" s="6">
        <f t="shared" si="73"/>
        <v>23825</v>
      </c>
      <c r="S285" s="11" t="s">
        <v>136</v>
      </c>
      <c r="T285" s="7">
        <f t="shared" si="77"/>
        <v>5956.25</v>
      </c>
      <c r="V285" s="3">
        <v>40269</v>
      </c>
      <c r="W285" t="s">
        <v>559</v>
      </c>
      <c r="Y285" s="7">
        <v>105</v>
      </c>
      <c r="Z285" s="6">
        <f t="shared" si="80"/>
        <v>38500</v>
      </c>
      <c r="AA285" s="11" t="s">
        <v>10</v>
      </c>
      <c r="AB285" s="7">
        <f t="shared" si="81"/>
        <v>1283.3333333333333</v>
      </c>
    </row>
    <row r="286" spans="14:28" ht="13.5">
      <c r="N286" s="3">
        <v>40053</v>
      </c>
      <c r="O286" t="s">
        <v>245</v>
      </c>
      <c r="Q286" s="6">
        <v>980</v>
      </c>
      <c r="R286" s="6">
        <f t="shared" si="73"/>
        <v>22845</v>
      </c>
      <c r="S286" s="11" t="s">
        <v>136</v>
      </c>
      <c r="T286" s="7">
        <f t="shared" si="77"/>
        <v>5711.25</v>
      </c>
      <c r="V286" s="3">
        <v>40269</v>
      </c>
      <c r="W286" t="s">
        <v>623</v>
      </c>
      <c r="Y286" s="7">
        <v>105</v>
      </c>
      <c r="Z286" s="6">
        <f t="shared" si="80"/>
        <v>38395</v>
      </c>
      <c r="AA286" s="11" t="s">
        <v>10</v>
      </c>
      <c r="AB286" s="7">
        <f t="shared" si="81"/>
        <v>1279.8333333333333</v>
      </c>
    </row>
    <row r="287" spans="14:28" ht="13.5">
      <c r="N287" s="3">
        <v>40053</v>
      </c>
      <c r="O287" t="s">
        <v>246</v>
      </c>
      <c r="P287" s="6"/>
      <c r="Q287" s="6">
        <f>140*5</f>
        <v>700</v>
      </c>
      <c r="R287" s="6">
        <f t="shared" si="73"/>
        <v>22145</v>
      </c>
      <c r="S287" s="11" t="s">
        <v>136</v>
      </c>
      <c r="T287" s="7">
        <f t="shared" si="77"/>
        <v>5536.25</v>
      </c>
      <c r="V287" s="3">
        <v>40269</v>
      </c>
      <c r="W287" t="s">
        <v>193</v>
      </c>
      <c r="Y287" s="7">
        <v>105</v>
      </c>
      <c r="Z287" s="6">
        <f t="shared" si="80"/>
        <v>38290</v>
      </c>
      <c r="AA287" s="11" t="s">
        <v>10</v>
      </c>
      <c r="AB287" s="7">
        <f t="shared" si="81"/>
        <v>1276.3333333333333</v>
      </c>
    </row>
    <row r="288" spans="14:28" ht="13.5">
      <c r="N288" s="3">
        <v>40053</v>
      </c>
      <c r="O288" t="s">
        <v>247</v>
      </c>
      <c r="P288" s="6"/>
      <c r="Q288" s="6">
        <f>300*4</f>
        <v>1200</v>
      </c>
      <c r="R288" s="6">
        <f t="shared" si="73"/>
        <v>20945</v>
      </c>
      <c r="S288" s="11" t="s">
        <v>136</v>
      </c>
      <c r="T288" s="7">
        <f t="shared" si="77"/>
        <v>5236.25</v>
      </c>
      <c r="V288" s="3">
        <v>40269</v>
      </c>
      <c r="W288" t="s">
        <v>624</v>
      </c>
      <c r="X288" s="6"/>
      <c r="Y288" s="6">
        <v>3000</v>
      </c>
      <c r="Z288" s="6">
        <f t="shared" si="80"/>
        <v>35290</v>
      </c>
      <c r="AA288" s="11" t="s">
        <v>10</v>
      </c>
      <c r="AB288" s="7">
        <f t="shared" si="81"/>
        <v>1176.3333333333333</v>
      </c>
    </row>
    <row r="289" spans="14:28" ht="13.5">
      <c r="N289" s="3">
        <v>40053</v>
      </c>
      <c r="O289" t="s">
        <v>248</v>
      </c>
      <c r="Q289" s="6">
        <v>139</v>
      </c>
      <c r="R289" s="6">
        <f t="shared" si="73"/>
        <v>20806</v>
      </c>
      <c r="S289" s="11" t="s">
        <v>136</v>
      </c>
      <c r="T289" s="7">
        <f t="shared" si="77"/>
        <v>5201.5</v>
      </c>
      <c r="V289" s="3">
        <v>40269</v>
      </c>
      <c r="W289" t="s">
        <v>625</v>
      </c>
      <c r="Y289" s="7">
        <v>1000</v>
      </c>
      <c r="Z289" s="6">
        <f t="shared" si="80"/>
        <v>34290</v>
      </c>
      <c r="AA289" s="11" t="s">
        <v>10</v>
      </c>
      <c r="AB289" s="7">
        <f t="shared" si="81"/>
        <v>1143</v>
      </c>
    </row>
    <row r="290" spans="14:28" ht="13.5">
      <c r="N290" s="3">
        <v>40053</v>
      </c>
      <c r="O290" t="s">
        <v>249</v>
      </c>
      <c r="P290" s="6"/>
      <c r="Q290" s="6">
        <f>105*2</f>
        <v>210</v>
      </c>
      <c r="R290" s="6">
        <f t="shared" si="73"/>
        <v>20596</v>
      </c>
      <c r="S290" s="11" t="s">
        <v>136</v>
      </c>
      <c r="T290" s="7">
        <f t="shared" si="77"/>
        <v>5149</v>
      </c>
      <c r="V290" s="3">
        <v>40270</v>
      </c>
      <c r="W290" t="s">
        <v>627</v>
      </c>
      <c r="Y290" s="7">
        <v>105</v>
      </c>
      <c r="Z290" s="6">
        <f t="shared" si="80"/>
        <v>34185</v>
      </c>
      <c r="AA290" s="11" t="s">
        <v>10</v>
      </c>
      <c r="AB290" s="7">
        <f t="shared" si="81"/>
        <v>1178.7931034482758</v>
      </c>
    </row>
    <row r="291" spans="14:28" ht="13.5">
      <c r="N291" s="3">
        <v>40053</v>
      </c>
      <c r="O291" t="s">
        <v>123</v>
      </c>
      <c r="P291" s="6"/>
      <c r="Q291" s="6">
        <v>105</v>
      </c>
      <c r="R291" s="6">
        <f t="shared" si="73"/>
        <v>20491</v>
      </c>
      <c r="S291" s="11" t="s">
        <v>136</v>
      </c>
      <c r="T291" s="7">
        <f t="shared" si="77"/>
        <v>5122.75</v>
      </c>
      <c r="V291" s="3">
        <v>40270</v>
      </c>
      <c r="W291" t="s">
        <v>487</v>
      </c>
      <c r="Y291" s="7">
        <v>120</v>
      </c>
      <c r="Z291" s="6">
        <f t="shared" si="80"/>
        <v>34065</v>
      </c>
      <c r="AA291" s="11" t="s">
        <v>10</v>
      </c>
      <c r="AB291" s="7">
        <f t="shared" si="81"/>
        <v>1174.655172413793</v>
      </c>
    </row>
    <row r="292" spans="14:28" ht="13.5">
      <c r="N292" s="3">
        <v>40053</v>
      </c>
      <c r="O292" t="s">
        <v>250</v>
      </c>
      <c r="P292" s="6"/>
      <c r="Q292" s="6">
        <v>105</v>
      </c>
      <c r="R292" s="6">
        <f t="shared" si="73"/>
        <v>20386</v>
      </c>
      <c r="S292" s="11" t="s">
        <v>136</v>
      </c>
      <c r="T292" s="7">
        <f t="shared" si="77"/>
        <v>5096.5</v>
      </c>
      <c r="V292" s="3">
        <v>40270</v>
      </c>
      <c r="W292" t="s">
        <v>240</v>
      </c>
      <c r="Y292" s="7">
        <v>10</v>
      </c>
      <c r="Z292" s="6">
        <f t="shared" si="80"/>
        <v>34055</v>
      </c>
      <c r="AA292" s="11" t="s">
        <v>10</v>
      </c>
      <c r="AB292" s="7">
        <f t="shared" si="81"/>
        <v>1174.3103448275863</v>
      </c>
    </row>
    <row r="293" spans="14:28" ht="13.5">
      <c r="N293" s="3">
        <v>40053</v>
      </c>
      <c r="O293" t="s">
        <v>251</v>
      </c>
      <c r="P293" s="6"/>
      <c r="Q293" s="6">
        <v>105</v>
      </c>
      <c r="R293" s="6">
        <f t="shared" si="73"/>
        <v>20281</v>
      </c>
      <c r="S293" s="11" t="s">
        <v>136</v>
      </c>
      <c r="T293" s="7">
        <f t="shared" si="77"/>
        <v>5070.25</v>
      </c>
      <c r="V293" s="3">
        <v>40270</v>
      </c>
      <c r="W293" t="s">
        <v>628</v>
      </c>
      <c r="Y293" s="7">
        <v>144</v>
      </c>
      <c r="Z293" s="6">
        <f>+Z292+X293-Y293</f>
        <v>33911</v>
      </c>
      <c r="AA293" s="11" t="s">
        <v>10</v>
      </c>
      <c r="AB293" s="7">
        <f aca="true" t="shared" si="82" ref="AB293:AB310">+Z293/(40299-V293)</f>
        <v>1169.344827586207</v>
      </c>
    </row>
    <row r="294" spans="14:28" ht="13.5">
      <c r="N294" s="3">
        <v>40053</v>
      </c>
      <c r="O294" t="s">
        <v>252</v>
      </c>
      <c r="Q294" s="6">
        <v>105</v>
      </c>
      <c r="R294" s="6">
        <f aca="true" t="shared" si="83" ref="R294:R357">+R293+P294-Q294</f>
        <v>20176</v>
      </c>
      <c r="S294" s="11" t="s">
        <v>136</v>
      </c>
      <c r="T294" s="7">
        <f t="shared" si="77"/>
        <v>5044</v>
      </c>
      <c r="V294" s="3">
        <v>40270</v>
      </c>
      <c r="W294" t="s">
        <v>369</v>
      </c>
      <c r="Y294" s="7">
        <v>996</v>
      </c>
      <c r="Z294" s="6">
        <f aca="true" t="shared" si="84" ref="Z294:Z300">+Z293+X294-Y294</f>
        <v>32915</v>
      </c>
      <c r="AA294" s="11" t="s">
        <v>10</v>
      </c>
      <c r="AB294" s="7">
        <f t="shared" si="82"/>
        <v>1135</v>
      </c>
    </row>
    <row r="295" spans="14:28" ht="13.5">
      <c r="N295" s="3">
        <v>40053</v>
      </c>
      <c r="O295" t="s">
        <v>253</v>
      </c>
      <c r="Q295" s="6">
        <v>240</v>
      </c>
      <c r="R295" s="6">
        <f t="shared" si="83"/>
        <v>19936</v>
      </c>
      <c r="S295" s="11" t="s">
        <v>136</v>
      </c>
      <c r="T295" s="7">
        <f t="shared" si="77"/>
        <v>4984</v>
      </c>
      <c r="V295" s="3">
        <v>40270</v>
      </c>
      <c r="W295" t="s">
        <v>629</v>
      </c>
      <c r="X295" s="6"/>
      <c r="Y295" s="6">
        <v>94</v>
      </c>
      <c r="Z295" s="6">
        <f t="shared" si="84"/>
        <v>32821</v>
      </c>
      <c r="AA295" s="11" t="s">
        <v>10</v>
      </c>
      <c r="AB295" s="7">
        <f t="shared" si="82"/>
        <v>1131.7586206896551</v>
      </c>
    </row>
    <row r="296" spans="14:28" ht="13.5">
      <c r="N296" s="3">
        <v>40053</v>
      </c>
      <c r="O296" t="s">
        <v>158</v>
      </c>
      <c r="P296" s="6"/>
      <c r="Q296" s="6">
        <v>161</v>
      </c>
      <c r="R296" s="6">
        <f t="shared" si="83"/>
        <v>19775</v>
      </c>
      <c r="S296" s="11" t="s">
        <v>136</v>
      </c>
      <c r="T296" s="7">
        <f t="shared" si="77"/>
        <v>4943.75</v>
      </c>
      <c r="V296" s="3">
        <v>40270</v>
      </c>
      <c r="W296" t="s">
        <v>630</v>
      </c>
      <c r="Y296" s="7">
        <v>198</v>
      </c>
      <c r="Z296" s="6">
        <f t="shared" si="84"/>
        <v>32623</v>
      </c>
      <c r="AA296" s="11" t="s">
        <v>10</v>
      </c>
      <c r="AB296" s="7">
        <f t="shared" si="82"/>
        <v>1124.9310344827586</v>
      </c>
    </row>
    <row r="297" spans="14:28" ht="13.5">
      <c r="N297" s="3">
        <v>40053</v>
      </c>
      <c r="O297" t="s">
        <v>257</v>
      </c>
      <c r="P297" s="6"/>
      <c r="Q297" s="6">
        <f>3925*2</f>
        <v>7850</v>
      </c>
      <c r="R297" s="6">
        <f t="shared" si="83"/>
        <v>11925</v>
      </c>
      <c r="S297" s="11" t="s">
        <v>136</v>
      </c>
      <c r="T297" s="7">
        <f t="shared" si="77"/>
        <v>2981.25</v>
      </c>
      <c r="V297" s="3">
        <v>40270</v>
      </c>
      <c r="W297" t="s">
        <v>631</v>
      </c>
      <c r="Y297" s="7">
        <v>168</v>
      </c>
      <c r="Z297" s="6">
        <f t="shared" si="84"/>
        <v>32455</v>
      </c>
      <c r="AA297" s="11" t="s">
        <v>10</v>
      </c>
      <c r="AB297" s="7">
        <f t="shared" si="82"/>
        <v>1119.1379310344828</v>
      </c>
    </row>
    <row r="298" spans="14:28" ht="13.5">
      <c r="N298" s="3">
        <v>40056</v>
      </c>
      <c r="O298" t="s">
        <v>17</v>
      </c>
      <c r="P298" s="6"/>
      <c r="Q298" s="6">
        <f>480+568</f>
        <v>1048</v>
      </c>
      <c r="R298" s="6">
        <f t="shared" si="83"/>
        <v>10877</v>
      </c>
      <c r="S298" s="11" t="s">
        <v>136</v>
      </c>
      <c r="T298" s="7">
        <f t="shared" si="77"/>
        <v>10877</v>
      </c>
      <c r="V298" s="3">
        <v>40270</v>
      </c>
      <c r="W298" t="s">
        <v>126</v>
      </c>
      <c r="Y298" s="7">
        <v>168</v>
      </c>
      <c r="Z298" s="6">
        <f t="shared" si="84"/>
        <v>32287</v>
      </c>
      <c r="AA298" s="11" t="s">
        <v>10</v>
      </c>
      <c r="AB298" s="7">
        <f t="shared" si="82"/>
        <v>1113.344827586207</v>
      </c>
    </row>
    <row r="299" spans="14:28" ht="13.5">
      <c r="N299" s="3">
        <v>40057</v>
      </c>
      <c r="O299" t="s">
        <v>29</v>
      </c>
      <c r="P299" s="7">
        <v>43000</v>
      </c>
      <c r="Q299" s="7"/>
      <c r="R299" s="7">
        <f t="shared" si="83"/>
        <v>53877</v>
      </c>
      <c r="S299" s="11" t="s">
        <v>136</v>
      </c>
      <c r="T299" s="7">
        <f aca="true" t="shared" si="85" ref="T299:T342">+R299/(40087-N299)</f>
        <v>1795.9</v>
      </c>
      <c r="V299" s="3">
        <v>40270</v>
      </c>
      <c r="W299" t="s">
        <v>532</v>
      </c>
      <c r="Y299" s="7">
        <v>730</v>
      </c>
      <c r="Z299" s="6">
        <f t="shared" si="84"/>
        <v>31557</v>
      </c>
      <c r="AA299" s="11" t="s">
        <v>10</v>
      </c>
      <c r="AB299" s="7">
        <f t="shared" si="82"/>
        <v>1088.1724137931035</v>
      </c>
    </row>
    <row r="300" spans="14:28" ht="13.5">
      <c r="N300" s="3">
        <v>40057</v>
      </c>
      <c r="O300" t="s">
        <v>255</v>
      </c>
      <c r="P300" s="6"/>
      <c r="Q300" s="6">
        <v>1630</v>
      </c>
      <c r="R300" s="6">
        <f t="shared" si="83"/>
        <v>52247</v>
      </c>
      <c r="S300" s="11" t="s">
        <v>136</v>
      </c>
      <c r="T300" s="7">
        <f t="shared" si="85"/>
        <v>1741.5666666666666</v>
      </c>
      <c r="V300" s="3">
        <v>40270</v>
      </c>
      <c r="W300" t="s">
        <v>632</v>
      </c>
      <c r="Y300" s="7">
        <v>680</v>
      </c>
      <c r="Z300" s="6">
        <f t="shared" si="84"/>
        <v>30877</v>
      </c>
      <c r="AA300" s="11" t="s">
        <v>10</v>
      </c>
      <c r="AB300" s="7">
        <f t="shared" si="82"/>
        <v>1064.7241379310344</v>
      </c>
    </row>
    <row r="301" spans="14:28" ht="13.5">
      <c r="N301" s="3">
        <v>40057</v>
      </c>
      <c r="O301" t="s">
        <v>256</v>
      </c>
      <c r="P301" s="7"/>
      <c r="Q301" s="7">
        <f>2334-1000</f>
        <v>1334</v>
      </c>
      <c r="R301" s="7">
        <f t="shared" si="83"/>
        <v>50913</v>
      </c>
      <c r="S301" s="11" t="s">
        <v>136</v>
      </c>
      <c r="T301" s="7">
        <f t="shared" si="85"/>
        <v>1697.1</v>
      </c>
      <c r="V301" s="3">
        <v>40270</v>
      </c>
      <c r="W301" t="s">
        <v>633</v>
      </c>
      <c r="Y301" s="7">
        <v>280</v>
      </c>
      <c r="Z301" s="6">
        <f aca="true" t="shared" si="86" ref="Z301:Z311">+Z300+X301-Y301</f>
        <v>30597</v>
      </c>
      <c r="AA301" s="11" t="s">
        <v>10</v>
      </c>
      <c r="AB301" s="7">
        <f t="shared" si="82"/>
        <v>1055.0689655172414</v>
      </c>
    </row>
    <row r="302" spans="14:28" ht="13.5">
      <c r="N302" s="3">
        <v>40058</v>
      </c>
      <c r="O302" t="s">
        <v>258</v>
      </c>
      <c r="P302" s="7"/>
      <c r="Q302" s="7">
        <v>735</v>
      </c>
      <c r="R302" s="7">
        <f t="shared" si="83"/>
        <v>50178</v>
      </c>
      <c r="S302" s="11" t="s">
        <v>136</v>
      </c>
      <c r="T302" s="7">
        <f t="shared" si="85"/>
        <v>1730.2758620689656</v>
      </c>
      <c r="V302" s="3">
        <v>40270</v>
      </c>
      <c r="W302" t="s">
        <v>634</v>
      </c>
      <c r="Y302" s="7">
        <f>155*3</f>
        <v>465</v>
      </c>
      <c r="Z302" s="6">
        <f t="shared" si="86"/>
        <v>30132</v>
      </c>
      <c r="AA302" s="11" t="s">
        <v>10</v>
      </c>
      <c r="AB302" s="7">
        <f t="shared" si="82"/>
        <v>1039.0344827586207</v>
      </c>
    </row>
    <row r="303" spans="14:28" ht="13.5">
      <c r="N303" s="3">
        <v>40059</v>
      </c>
      <c r="O303" t="s">
        <v>232</v>
      </c>
      <c r="P303" s="7"/>
      <c r="Q303" s="7">
        <v>22180</v>
      </c>
      <c r="R303" s="7">
        <f t="shared" si="83"/>
        <v>27998</v>
      </c>
      <c r="S303" s="11" t="s">
        <v>136</v>
      </c>
      <c r="T303" s="7">
        <f t="shared" si="85"/>
        <v>999.9285714285714</v>
      </c>
      <c r="V303" s="3">
        <v>40270</v>
      </c>
      <c r="W303" t="s">
        <v>635</v>
      </c>
      <c r="X303" s="6"/>
      <c r="Y303" s="6">
        <v>158</v>
      </c>
      <c r="Z303" s="6">
        <f t="shared" si="86"/>
        <v>29974</v>
      </c>
      <c r="AA303" s="11" t="s">
        <v>10</v>
      </c>
      <c r="AB303" s="7">
        <f t="shared" si="82"/>
        <v>1033.5862068965516</v>
      </c>
    </row>
    <row r="304" spans="14:28" ht="13.5">
      <c r="N304" s="3">
        <v>40060</v>
      </c>
      <c r="O304" t="s">
        <v>266</v>
      </c>
      <c r="Q304" s="6">
        <f>996+168+168</f>
        <v>1332</v>
      </c>
      <c r="R304" s="7">
        <f t="shared" si="83"/>
        <v>26666</v>
      </c>
      <c r="S304" s="11" t="s">
        <v>136</v>
      </c>
      <c r="T304" s="7">
        <f t="shared" si="85"/>
        <v>987.6296296296297</v>
      </c>
      <c r="V304" s="3">
        <v>40270</v>
      </c>
      <c r="W304" t="s">
        <v>419</v>
      </c>
      <c r="Y304" s="7">
        <v>594</v>
      </c>
      <c r="Z304" s="6">
        <f t="shared" si="86"/>
        <v>29380</v>
      </c>
      <c r="AA304" s="11" t="s">
        <v>10</v>
      </c>
      <c r="AB304" s="7">
        <f t="shared" si="82"/>
        <v>1013.1034482758621</v>
      </c>
    </row>
    <row r="305" spans="14:28" ht="13.5">
      <c r="N305" s="3">
        <v>40060</v>
      </c>
      <c r="O305" t="s">
        <v>260</v>
      </c>
      <c r="Q305" s="6">
        <v>4251</v>
      </c>
      <c r="R305" s="7">
        <f t="shared" si="83"/>
        <v>22415</v>
      </c>
      <c r="S305" s="11" t="s">
        <v>136</v>
      </c>
      <c r="T305" s="7">
        <f t="shared" si="85"/>
        <v>830.1851851851852</v>
      </c>
      <c r="V305" s="3">
        <v>40270</v>
      </c>
      <c r="W305" t="s">
        <v>636</v>
      </c>
      <c r="Y305" s="7">
        <v>205</v>
      </c>
      <c r="Z305" s="6">
        <f t="shared" si="86"/>
        <v>29175</v>
      </c>
      <c r="AA305" s="11" t="s">
        <v>10</v>
      </c>
      <c r="AB305" s="7">
        <f t="shared" si="82"/>
        <v>1006.0344827586207</v>
      </c>
    </row>
    <row r="306" spans="14:28" ht="13.5">
      <c r="N306" s="3">
        <v>40060</v>
      </c>
      <c r="O306" t="s">
        <v>254</v>
      </c>
      <c r="Q306" s="7">
        <f>140*30</f>
        <v>4200</v>
      </c>
      <c r="R306" s="7">
        <f t="shared" si="83"/>
        <v>18215</v>
      </c>
      <c r="S306" s="11" t="s">
        <v>136</v>
      </c>
      <c r="T306" s="7">
        <f t="shared" si="85"/>
        <v>674.6296296296297</v>
      </c>
      <c r="V306" s="3">
        <v>40270</v>
      </c>
      <c r="W306" t="s">
        <v>637</v>
      </c>
      <c r="Y306" s="7">
        <v>555</v>
      </c>
      <c r="Z306" s="6">
        <f t="shared" si="86"/>
        <v>28620</v>
      </c>
      <c r="AA306" s="11" t="s">
        <v>10</v>
      </c>
      <c r="AB306" s="7">
        <f t="shared" si="82"/>
        <v>986.8965517241379</v>
      </c>
    </row>
    <row r="307" spans="14:28" ht="13.5">
      <c r="N307" s="3">
        <v>40060</v>
      </c>
      <c r="O307" t="s">
        <v>261</v>
      </c>
      <c r="Q307" s="7">
        <f>2255-996-168-168</f>
        <v>923</v>
      </c>
      <c r="R307" s="7">
        <f t="shared" si="83"/>
        <v>17292</v>
      </c>
      <c r="S307" s="11" t="s">
        <v>136</v>
      </c>
      <c r="T307" s="7">
        <f t="shared" si="85"/>
        <v>640.4444444444445</v>
      </c>
      <c r="V307" s="3">
        <v>40270</v>
      </c>
      <c r="W307" t="s">
        <v>638</v>
      </c>
      <c r="Y307" s="7">
        <v>890</v>
      </c>
      <c r="Z307" s="6">
        <f t="shared" si="86"/>
        <v>27730</v>
      </c>
      <c r="AA307" s="11" t="s">
        <v>10</v>
      </c>
      <c r="AB307" s="7">
        <f t="shared" si="82"/>
        <v>956.2068965517242</v>
      </c>
    </row>
    <row r="308" spans="14:28" ht="13.5">
      <c r="N308" s="3">
        <v>40060</v>
      </c>
      <c r="O308" t="s">
        <v>262</v>
      </c>
      <c r="Q308" s="6">
        <v>630</v>
      </c>
      <c r="R308" s="7">
        <f t="shared" si="83"/>
        <v>16662</v>
      </c>
      <c r="S308" s="11" t="s">
        <v>136</v>
      </c>
      <c r="T308" s="7">
        <f t="shared" si="85"/>
        <v>617.1111111111111</v>
      </c>
      <c r="V308" s="3">
        <v>40270</v>
      </c>
      <c r="W308" t="s">
        <v>639</v>
      </c>
      <c r="Y308" s="7">
        <v>318</v>
      </c>
      <c r="Z308" s="6">
        <f t="shared" si="86"/>
        <v>27412</v>
      </c>
      <c r="AA308" s="11" t="s">
        <v>10</v>
      </c>
      <c r="AB308" s="7">
        <f t="shared" si="82"/>
        <v>945.2413793103449</v>
      </c>
    </row>
    <row r="309" spans="14:28" ht="13.5">
      <c r="N309" s="3">
        <v>40060</v>
      </c>
      <c r="O309" t="s">
        <v>263</v>
      </c>
      <c r="Q309" s="6">
        <v>480</v>
      </c>
      <c r="R309" s="7">
        <f t="shared" si="83"/>
        <v>16182</v>
      </c>
      <c r="S309" s="11" t="s">
        <v>136</v>
      </c>
      <c r="T309" s="7">
        <f t="shared" si="85"/>
        <v>599.3333333333334</v>
      </c>
      <c r="V309" s="3">
        <v>40270</v>
      </c>
      <c r="W309" t="s">
        <v>240</v>
      </c>
      <c r="Y309" s="7">
        <v>10</v>
      </c>
      <c r="Z309" s="6">
        <f t="shared" si="86"/>
        <v>27402</v>
      </c>
      <c r="AA309" s="11" t="s">
        <v>10</v>
      </c>
      <c r="AB309" s="7">
        <f t="shared" si="82"/>
        <v>944.8965517241379</v>
      </c>
    </row>
    <row r="310" spans="14:28" ht="13.5">
      <c r="N310" s="3">
        <v>40060</v>
      </c>
      <c r="O310" t="s">
        <v>265</v>
      </c>
      <c r="Q310" s="6">
        <f>1861-300-5</f>
        <v>1556</v>
      </c>
      <c r="R310" s="7">
        <f t="shared" si="83"/>
        <v>14626</v>
      </c>
      <c r="S310" s="11" t="s">
        <v>136</v>
      </c>
      <c r="T310" s="7">
        <f t="shared" si="85"/>
        <v>541.7037037037037</v>
      </c>
      <c r="V310" s="3">
        <v>40270</v>
      </c>
      <c r="W310" t="s">
        <v>640</v>
      </c>
      <c r="Y310" s="7">
        <v>2815</v>
      </c>
      <c r="Z310" s="6">
        <f t="shared" si="86"/>
        <v>24587</v>
      </c>
      <c r="AA310" s="11" t="s">
        <v>10</v>
      </c>
      <c r="AB310" s="7">
        <f t="shared" si="82"/>
        <v>847.8275862068965</v>
      </c>
    </row>
    <row r="311" spans="14:28" ht="13.5">
      <c r="N311" s="3">
        <v>40060</v>
      </c>
      <c r="O311" t="s">
        <v>264</v>
      </c>
      <c r="Q311" s="6">
        <v>300</v>
      </c>
      <c r="R311" s="7">
        <f t="shared" si="83"/>
        <v>14326</v>
      </c>
      <c r="S311" s="11" t="s">
        <v>136</v>
      </c>
      <c r="T311" s="7">
        <f t="shared" si="85"/>
        <v>530.5925925925926</v>
      </c>
      <c r="V311" s="3">
        <v>40270</v>
      </c>
      <c r="W311" t="s">
        <v>641</v>
      </c>
      <c r="Y311" s="7">
        <v>950</v>
      </c>
      <c r="Z311" s="6">
        <f t="shared" si="86"/>
        <v>23637</v>
      </c>
      <c r="AA311" s="11" t="s">
        <v>10</v>
      </c>
      <c r="AB311" s="7">
        <f aca="true" t="shared" si="87" ref="AB311:AB328">+Z311/(40299-V311)</f>
        <v>815.0689655172414</v>
      </c>
    </row>
    <row r="312" spans="14:28" ht="13.5">
      <c r="N312" s="3">
        <v>40061</v>
      </c>
      <c r="O312" t="s">
        <v>267</v>
      </c>
      <c r="Q312" s="6">
        <v>839</v>
      </c>
      <c r="R312" s="7">
        <f t="shared" si="83"/>
        <v>13487</v>
      </c>
      <c r="S312" s="11" t="s">
        <v>136</v>
      </c>
      <c r="T312" s="7">
        <f t="shared" si="85"/>
        <v>518.7307692307693</v>
      </c>
      <c r="V312" s="3">
        <v>40270</v>
      </c>
      <c r="W312" t="s">
        <v>642</v>
      </c>
      <c r="Y312" s="7">
        <v>2500</v>
      </c>
      <c r="Z312" s="6">
        <f aca="true" t="shared" si="88" ref="Z312:Z368">+Z311+X312-Y312</f>
        <v>21137</v>
      </c>
      <c r="AA312" s="11" t="s">
        <v>10</v>
      </c>
      <c r="AB312" s="7">
        <f t="shared" si="87"/>
        <v>728.8620689655172</v>
      </c>
    </row>
    <row r="313" spans="14:28" ht="13.5">
      <c r="N313" s="3">
        <v>40062</v>
      </c>
      <c r="O313" t="s">
        <v>40</v>
      </c>
      <c r="Q313" s="6">
        <v>120</v>
      </c>
      <c r="R313" s="7">
        <f t="shared" si="83"/>
        <v>13367</v>
      </c>
      <c r="S313" s="11" t="s">
        <v>136</v>
      </c>
      <c r="T313" s="7">
        <f t="shared" si="85"/>
        <v>534.68</v>
      </c>
      <c r="V313" s="3">
        <v>40270</v>
      </c>
      <c r="W313" t="s">
        <v>643</v>
      </c>
      <c r="X313" s="6"/>
      <c r="Y313" s="6">
        <f>140*35</f>
        <v>4900</v>
      </c>
      <c r="Z313" s="6">
        <f t="shared" si="88"/>
        <v>16237</v>
      </c>
      <c r="AA313" s="11" t="s">
        <v>10</v>
      </c>
      <c r="AB313" s="7">
        <f t="shared" si="87"/>
        <v>559.8965517241379</v>
      </c>
    </row>
    <row r="314" spans="14:28" ht="13.5">
      <c r="N314" s="3">
        <v>40063</v>
      </c>
      <c r="O314" t="s">
        <v>268</v>
      </c>
      <c r="Q314" s="6">
        <f>315+960</f>
        <v>1275</v>
      </c>
      <c r="R314" s="7">
        <f t="shared" si="83"/>
        <v>12092</v>
      </c>
      <c r="S314" s="11" t="s">
        <v>136</v>
      </c>
      <c r="T314" s="7">
        <f t="shared" si="85"/>
        <v>503.8333333333333</v>
      </c>
      <c r="V314" s="3">
        <v>40270</v>
      </c>
      <c r="W314" t="s">
        <v>158</v>
      </c>
      <c r="Y314" s="7">
        <v>2300</v>
      </c>
      <c r="Z314" s="6">
        <f t="shared" si="88"/>
        <v>13937</v>
      </c>
      <c r="AA314" s="11" t="s">
        <v>10</v>
      </c>
      <c r="AB314" s="7">
        <f t="shared" si="87"/>
        <v>480.58620689655174</v>
      </c>
    </row>
    <row r="315" spans="14:28" ht="13.5">
      <c r="N315" s="3">
        <v>40063</v>
      </c>
      <c r="O315" t="s">
        <v>126</v>
      </c>
      <c r="Q315" s="6">
        <v>210</v>
      </c>
      <c r="R315" s="7">
        <f t="shared" si="83"/>
        <v>11882</v>
      </c>
      <c r="S315" s="11" t="s">
        <v>136</v>
      </c>
      <c r="T315" s="7">
        <f t="shared" si="85"/>
        <v>495.0833333333333</v>
      </c>
      <c r="V315" s="3">
        <v>40270</v>
      </c>
      <c r="W315" t="s">
        <v>644</v>
      </c>
      <c r="Y315" s="7">
        <v>780</v>
      </c>
      <c r="Z315" s="6">
        <f t="shared" si="88"/>
        <v>13157</v>
      </c>
      <c r="AA315" s="11" t="s">
        <v>10</v>
      </c>
      <c r="AB315" s="7">
        <f t="shared" si="87"/>
        <v>453.6896551724138</v>
      </c>
    </row>
    <row r="316" spans="14:28" ht="13.5">
      <c r="N316" s="3">
        <v>40064</v>
      </c>
      <c r="O316" t="s">
        <v>40</v>
      </c>
      <c r="Q316" s="6">
        <v>120</v>
      </c>
      <c r="R316" s="7">
        <f t="shared" si="83"/>
        <v>11762</v>
      </c>
      <c r="S316" s="11" t="s">
        <v>136</v>
      </c>
      <c r="T316" s="7">
        <f t="shared" si="85"/>
        <v>511.39130434782606</v>
      </c>
      <c r="V316" s="3">
        <v>40270</v>
      </c>
      <c r="W316" t="s">
        <v>645</v>
      </c>
      <c r="Y316" s="7">
        <v>1800</v>
      </c>
      <c r="Z316" s="6">
        <f t="shared" si="88"/>
        <v>11357</v>
      </c>
      <c r="AA316" s="11" t="s">
        <v>10</v>
      </c>
      <c r="AB316" s="7">
        <f t="shared" si="87"/>
        <v>391.62068965517244</v>
      </c>
    </row>
    <row r="317" spans="14:28" ht="13.5">
      <c r="N317" s="3">
        <v>40065</v>
      </c>
      <c r="O317" t="s">
        <v>50</v>
      </c>
      <c r="Q317" s="6">
        <v>119</v>
      </c>
      <c r="R317" s="7">
        <f t="shared" si="83"/>
        <v>11643</v>
      </c>
      <c r="S317" s="11" t="s">
        <v>136</v>
      </c>
      <c r="T317" s="7">
        <f t="shared" si="85"/>
        <v>529.2272727272727</v>
      </c>
      <c r="V317" s="3">
        <v>40270</v>
      </c>
      <c r="W317" t="s">
        <v>646</v>
      </c>
      <c r="Y317" s="7">
        <v>1248</v>
      </c>
      <c r="Z317" s="6">
        <f t="shared" si="88"/>
        <v>10109</v>
      </c>
      <c r="AA317" s="11" t="s">
        <v>10</v>
      </c>
      <c r="AB317" s="7">
        <f t="shared" si="87"/>
        <v>348.58620689655174</v>
      </c>
    </row>
    <row r="318" spans="14:28" ht="13.5">
      <c r="N318" s="3">
        <v>40065</v>
      </c>
      <c r="O318" t="s">
        <v>27</v>
      </c>
      <c r="Q318" s="6">
        <v>205</v>
      </c>
      <c r="R318" s="7">
        <f t="shared" si="83"/>
        <v>11438</v>
      </c>
      <c r="S318" s="11" t="s">
        <v>136</v>
      </c>
      <c r="T318" s="7">
        <f t="shared" si="85"/>
        <v>519.9090909090909</v>
      </c>
      <c r="V318" s="3">
        <v>40271</v>
      </c>
      <c r="W318" t="s">
        <v>647</v>
      </c>
      <c r="Y318" s="7">
        <v>2719</v>
      </c>
      <c r="Z318" s="6">
        <f t="shared" si="88"/>
        <v>7390</v>
      </c>
      <c r="AA318" s="11" t="s">
        <v>10</v>
      </c>
      <c r="AB318" s="7">
        <f t="shared" si="87"/>
        <v>263.92857142857144</v>
      </c>
    </row>
    <row r="319" spans="14:28" ht="13.5">
      <c r="N319" s="3">
        <v>40065</v>
      </c>
      <c r="O319" t="s">
        <v>80</v>
      </c>
      <c r="Q319" s="6">
        <v>105</v>
      </c>
      <c r="R319" s="7">
        <f t="shared" si="83"/>
        <v>11333</v>
      </c>
      <c r="S319" s="11" t="s">
        <v>136</v>
      </c>
      <c r="T319" s="7">
        <f t="shared" si="85"/>
        <v>515.1363636363636</v>
      </c>
      <c r="V319" s="3">
        <v>40273</v>
      </c>
      <c r="W319" t="s">
        <v>531</v>
      </c>
      <c r="X319" s="6">
        <v>-996</v>
      </c>
      <c r="Y319" s="6">
        <f>498*2</f>
        <v>996</v>
      </c>
      <c r="Z319" s="6">
        <f t="shared" si="88"/>
        <v>5398</v>
      </c>
      <c r="AA319" s="11" t="s">
        <v>654</v>
      </c>
      <c r="AB319" s="7">
        <f t="shared" si="87"/>
        <v>207.6153846153846</v>
      </c>
    </row>
    <row r="320" spans="14:28" ht="13.5">
      <c r="N320" s="3">
        <v>40065</v>
      </c>
      <c r="O320" t="s">
        <v>125</v>
      </c>
      <c r="Q320" s="6">
        <v>390</v>
      </c>
      <c r="R320" s="7">
        <f t="shared" si="83"/>
        <v>10943</v>
      </c>
      <c r="S320" s="11" t="s">
        <v>136</v>
      </c>
      <c r="T320" s="7">
        <f t="shared" si="85"/>
        <v>497.40909090909093</v>
      </c>
      <c r="V320" s="3">
        <v>40273</v>
      </c>
      <c r="W320" t="s">
        <v>648</v>
      </c>
      <c r="Y320" s="7">
        <v>105</v>
      </c>
      <c r="Z320" s="6">
        <f t="shared" si="88"/>
        <v>5293</v>
      </c>
      <c r="AA320" s="11" t="s">
        <v>10</v>
      </c>
      <c r="AB320" s="7">
        <f t="shared" si="87"/>
        <v>203.57692307692307</v>
      </c>
    </row>
    <row r="321" spans="14:28" ht="13.5">
      <c r="N321" s="3">
        <v>40067</v>
      </c>
      <c r="O321" t="s">
        <v>17</v>
      </c>
      <c r="Q321" s="6">
        <v>960</v>
      </c>
      <c r="R321" s="7">
        <f t="shared" si="83"/>
        <v>9983</v>
      </c>
      <c r="S321" s="11" t="s">
        <v>136</v>
      </c>
      <c r="T321" s="7">
        <f t="shared" si="85"/>
        <v>499.15</v>
      </c>
      <c r="V321" s="3">
        <v>40273</v>
      </c>
      <c r="W321" t="s">
        <v>649</v>
      </c>
      <c r="X321" s="7"/>
      <c r="Y321" s="7">
        <v>105</v>
      </c>
      <c r="Z321" s="6">
        <f t="shared" si="88"/>
        <v>5188</v>
      </c>
      <c r="AA321" s="11" t="s">
        <v>10</v>
      </c>
      <c r="AB321" s="7">
        <f t="shared" si="87"/>
        <v>199.53846153846155</v>
      </c>
    </row>
    <row r="322" spans="14:28" ht="13.5">
      <c r="N322" s="3">
        <v>40067</v>
      </c>
      <c r="O322" t="s">
        <v>270</v>
      </c>
      <c r="Q322" s="6">
        <v>720</v>
      </c>
      <c r="R322" s="7">
        <f t="shared" si="83"/>
        <v>9263</v>
      </c>
      <c r="S322" s="11" t="s">
        <v>136</v>
      </c>
      <c r="T322" s="7">
        <f t="shared" si="85"/>
        <v>463.15</v>
      </c>
      <c r="V322" s="3">
        <v>40273</v>
      </c>
      <c r="W322" t="s">
        <v>650</v>
      </c>
      <c r="Y322" s="7">
        <v>105</v>
      </c>
      <c r="Z322" s="6">
        <f t="shared" si="88"/>
        <v>5083</v>
      </c>
      <c r="AA322" s="11" t="s">
        <v>10</v>
      </c>
      <c r="AB322" s="7">
        <f t="shared" si="87"/>
        <v>195.5</v>
      </c>
    </row>
    <row r="323" spans="14:28" ht="13.5">
      <c r="N323" s="3">
        <v>40067</v>
      </c>
      <c r="O323" t="s">
        <v>271</v>
      </c>
      <c r="Q323" s="6">
        <v>200</v>
      </c>
      <c r="R323" s="7">
        <f t="shared" si="83"/>
        <v>9063</v>
      </c>
      <c r="S323" s="11" t="s">
        <v>136</v>
      </c>
      <c r="T323" s="7">
        <f t="shared" si="85"/>
        <v>453.15</v>
      </c>
      <c r="V323" s="3">
        <v>40273</v>
      </c>
      <c r="W323" t="s">
        <v>651</v>
      </c>
      <c r="X323" s="6"/>
      <c r="Y323" s="6">
        <v>105</v>
      </c>
      <c r="Z323" s="6">
        <f t="shared" si="88"/>
        <v>4978</v>
      </c>
      <c r="AA323" s="11" t="s">
        <v>10</v>
      </c>
      <c r="AB323" s="7">
        <f t="shared" si="87"/>
        <v>191.46153846153845</v>
      </c>
    </row>
    <row r="324" spans="14:28" ht="13.5">
      <c r="N324" s="3">
        <v>40069</v>
      </c>
      <c r="O324" t="s">
        <v>40</v>
      </c>
      <c r="Q324" s="6">
        <v>120</v>
      </c>
      <c r="R324" s="7">
        <f t="shared" si="83"/>
        <v>8943</v>
      </c>
      <c r="S324" s="11" t="s">
        <v>136</v>
      </c>
      <c r="T324" s="7">
        <f t="shared" si="85"/>
        <v>496.8333333333333</v>
      </c>
      <c r="V324" s="3">
        <v>40273</v>
      </c>
      <c r="W324" t="s">
        <v>652</v>
      </c>
      <c r="Y324" s="7">
        <v>230</v>
      </c>
      <c r="Z324" s="6">
        <f t="shared" si="88"/>
        <v>4748</v>
      </c>
      <c r="AA324" s="11" t="s">
        <v>10</v>
      </c>
      <c r="AB324" s="7">
        <f t="shared" si="87"/>
        <v>182.6153846153846</v>
      </c>
    </row>
    <row r="325" spans="14:28" ht="13.5">
      <c r="N325" s="3">
        <v>40070</v>
      </c>
      <c r="O325" t="s">
        <v>17</v>
      </c>
      <c r="Q325" s="6">
        <v>960</v>
      </c>
      <c r="R325" s="7">
        <f t="shared" si="83"/>
        <v>7983</v>
      </c>
      <c r="S325" s="11" t="s">
        <v>136</v>
      </c>
      <c r="T325" s="7">
        <f t="shared" si="85"/>
        <v>469.5882352941176</v>
      </c>
      <c r="V325" s="3">
        <v>40273</v>
      </c>
      <c r="W325" t="s">
        <v>653</v>
      </c>
      <c r="X325" s="7"/>
      <c r="Y325" s="7">
        <v>0</v>
      </c>
      <c r="Z325" s="6">
        <f t="shared" si="88"/>
        <v>4748</v>
      </c>
      <c r="AA325" s="11" t="s">
        <v>10</v>
      </c>
      <c r="AB325" s="7">
        <f t="shared" si="87"/>
        <v>182.6153846153846</v>
      </c>
    </row>
    <row r="326" spans="14:28" ht="13.5">
      <c r="N326" s="3">
        <v>40070</v>
      </c>
      <c r="O326" t="s">
        <v>19</v>
      </c>
      <c r="Q326" s="6">
        <f>105*2</f>
        <v>210</v>
      </c>
      <c r="R326" s="7">
        <f t="shared" si="83"/>
        <v>7773</v>
      </c>
      <c r="S326" s="11" t="s">
        <v>136</v>
      </c>
      <c r="T326" s="7">
        <f t="shared" si="85"/>
        <v>457.2352941176471</v>
      </c>
      <c r="V326" s="3">
        <v>40273</v>
      </c>
      <c r="W326" t="s">
        <v>655</v>
      </c>
      <c r="X326" s="7"/>
      <c r="Y326" s="7">
        <v>-333</v>
      </c>
      <c r="Z326" s="6">
        <f t="shared" si="88"/>
        <v>5081</v>
      </c>
      <c r="AA326" s="11" t="s">
        <v>10</v>
      </c>
      <c r="AB326" s="7">
        <f t="shared" si="87"/>
        <v>195.42307692307693</v>
      </c>
    </row>
    <row r="327" spans="14:28" ht="13.5">
      <c r="N327" s="3">
        <v>40070</v>
      </c>
      <c r="O327" t="s">
        <v>50</v>
      </c>
      <c r="Q327" s="21">
        <v>260</v>
      </c>
      <c r="R327" s="7">
        <f t="shared" si="83"/>
        <v>7513</v>
      </c>
      <c r="S327" s="11" t="s">
        <v>136</v>
      </c>
      <c r="T327" s="7">
        <f t="shared" si="85"/>
        <v>441.94117647058823</v>
      </c>
      <c r="V327" s="3">
        <v>40275</v>
      </c>
      <c r="W327" t="s">
        <v>656</v>
      </c>
      <c r="X327" s="6"/>
      <c r="Y327" s="6">
        <f>105*2</f>
        <v>210</v>
      </c>
      <c r="Z327" s="6">
        <f t="shared" si="88"/>
        <v>4871</v>
      </c>
      <c r="AA327" s="11" t="s">
        <v>10</v>
      </c>
      <c r="AB327" s="7">
        <f t="shared" si="87"/>
        <v>202.95833333333334</v>
      </c>
    </row>
    <row r="328" spans="14:28" ht="13.5">
      <c r="N328" s="3">
        <v>40070</v>
      </c>
      <c r="O328" t="s">
        <v>272</v>
      </c>
      <c r="Q328" s="6">
        <f>105*2</f>
        <v>210</v>
      </c>
      <c r="R328" s="7">
        <f t="shared" si="83"/>
        <v>7303</v>
      </c>
      <c r="S328" s="11" t="s">
        <v>136</v>
      </c>
      <c r="T328" s="7">
        <f t="shared" si="85"/>
        <v>429.5882352941176</v>
      </c>
      <c r="V328" s="3">
        <v>40275</v>
      </c>
      <c r="W328" t="s">
        <v>657</v>
      </c>
      <c r="Y328" s="7">
        <v>80</v>
      </c>
      <c r="Z328" s="6">
        <f t="shared" si="88"/>
        <v>4791</v>
      </c>
      <c r="AA328" s="11" t="s">
        <v>10</v>
      </c>
      <c r="AB328" s="7">
        <f t="shared" si="87"/>
        <v>199.625</v>
      </c>
    </row>
    <row r="329" spans="14:28" ht="13.5">
      <c r="N329" s="3">
        <v>40072</v>
      </c>
      <c r="O329" t="s">
        <v>273</v>
      </c>
      <c r="Q329" s="6">
        <v>430</v>
      </c>
      <c r="R329" s="7">
        <f t="shared" si="83"/>
        <v>6873</v>
      </c>
      <c r="S329" s="11" t="s">
        <v>136</v>
      </c>
      <c r="T329" s="7">
        <f t="shared" si="85"/>
        <v>458.2</v>
      </c>
      <c r="V329" s="3">
        <v>40277</v>
      </c>
      <c r="W329" t="s">
        <v>517</v>
      </c>
      <c r="X329" s="6"/>
      <c r="Y329" s="6">
        <f>498*2</f>
        <v>996</v>
      </c>
      <c r="Z329" s="6">
        <f t="shared" si="88"/>
        <v>3795</v>
      </c>
      <c r="AA329" s="11" t="s">
        <v>10</v>
      </c>
      <c r="AB329" s="7">
        <f>+Z329/(40299-V329)</f>
        <v>172.5</v>
      </c>
    </row>
    <row r="330" spans="14:28" ht="13.5">
      <c r="N330" s="3">
        <v>40073</v>
      </c>
      <c r="O330" t="s">
        <v>40</v>
      </c>
      <c r="Q330" s="6">
        <v>120</v>
      </c>
      <c r="R330" s="7">
        <f t="shared" si="83"/>
        <v>6753</v>
      </c>
      <c r="S330" s="11" t="s">
        <v>136</v>
      </c>
      <c r="T330" s="7">
        <f t="shared" si="85"/>
        <v>482.35714285714283</v>
      </c>
      <c r="V330" s="3">
        <v>40277</v>
      </c>
      <c r="W330" t="s">
        <v>702</v>
      </c>
      <c r="Y330" s="7">
        <v>298</v>
      </c>
      <c r="Z330" s="6">
        <f t="shared" si="88"/>
        <v>3497</v>
      </c>
      <c r="AA330" s="11" t="s">
        <v>10</v>
      </c>
      <c r="AB330" s="7">
        <f>+Z330/(40299-V330)</f>
        <v>158.95454545454547</v>
      </c>
    </row>
    <row r="331" spans="14:28" ht="13.5">
      <c r="N331" s="3">
        <v>40074</v>
      </c>
      <c r="O331" t="s">
        <v>17</v>
      </c>
      <c r="Q331" s="6">
        <v>960</v>
      </c>
      <c r="R331" s="7">
        <f t="shared" si="83"/>
        <v>5793</v>
      </c>
      <c r="S331" s="11" t="s">
        <v>136</v>
      </c>
      <c r="T331" s="7">
        <f t="shared" si="85"/>
        <v>445.61538461538464</v>
      </c>
      <c r="V331" s="3">
        <v>40277</v>
      </c>
      <c r="W331" t="s">
        <v>658</v>
      </c>
      <c r="X331" s="7"/>
      <c r="Y331" s="7">
        <v>505</v>
      </c>
      <c r="Z331" s="6">
        <f t="shared" si="88"/>
        <v>2992</v>
      </c>
      <c r="AA331" s="11" t="s">
        <v>10</v>
      </c>
      <c r="AB331" s="7">
        <f>+Z331/(40299-V331)</f>
        <v>136</v>
      </c>
    </row>
    <row r="332" spans="14:28" ht="13.5">
      <c r="N332" s="3">
        <v>40074</v>
      </c>
      <c r="O332" t="s">
        <v>274</v>
      </c>
      <c r="Q332" s="6">
        <v>1500</v>
      </c>
      <c r="R332" s="7">
        <f t="shared" si="83"/>
        <v>4293</v>
      </c>
      <c r="S332" s="11" t="s">
        <v>136</v>
      </c>
      <c r="T332" s="7">
        <f t="shared" si="85"/>
        <v>330.2307692307692</v>
      </c>
      <c r="V332" s="3">
        <v>40280</v>
      </c>
      <c r="W332" t="s">
        <v>517</v>
      </c>
      <c r="X332" s="6"/>
      <c r="Y332" s="6">
        <f>498*2</f>
        <v>996</v>
      </c>
      <c r="Z332" s="6">
        <f t="shared" si="88"/>
        <v>1996</v>
      </c>
      <c r="AA332" s="11" t="s">
        <v>10</v>
      </c>
      <c r="AB332" s="7">
        <f aca="true" t="shared" si="89" ref="AB332:AB368">+Z332/(40299-V332)</f>
        <v>105.05263157894737</v>
      </c>
    </row>
    <row r="333" spans="14:28" ht="13.5">
      <c r="N333" s="3">
        <v>40074</v>
      </c>
      <c r="O333" t="s">
        <v>19</v>
      </c>
      <c r="Q333" s="6">
        <v>68</v>
      </c>
      <c r="R333" s="7">
        <f t="shared" si="83"/>
        <v>4225</v>
      </c>
      <c r="S333" s="11" t="s">
        <v>136</v>
      </c>
      <c r="T333" s="7">
        <f t="shared" si="85"/>
        <v>325</v>
      </c>
      <c r="V333" s="3">
        <v>40280</v>
      </c>
      <c r="W333" t="s">
        <v>659</v>
      </c>
      <c r="Y333" s="7">
        <v>120</v>
      </c>
      <c r="Z333" s="6">
        <f t="shared" si="88"/>
        <v>1876</v>
      </c>
      <c r="AA333" s="11" t="s">
        <v>10</v>
      </c>
      <c r="AB333" s="7">
        <f t="shared" si="89"/>
        <v>98.73684210526316</v>
      </c>
    </row>
    <row r="334" spans="14:28" ht="13.5">
      <c r="N334" s="3">
        <v>40077</v>
      </c>
      <c r="O334" t="s">
        <v>275</v>
      </c>
      <c r="Q334" s="6">
        <v>330</v>
      </c>
      <c r="R334" s="7">
        <f t="shared" si="83"/>
        <v>3895</v>
      </c>
      <c r="S334" s="11" t="s">
        <v>136</v>
      </c>
      <c r="T334" s="7">
        <f t="shared" si="85"/>
        <v>389.5</v>
      </c>
      <c r="V334" s="3">
        <v>40280</v>
      </c>
      <c r="W334" t="s">
        <v>126</v>
      </c>
      <c r="X334" s="7"/>
      <c r="Y334" s="7">
        <v>105</v>
      </c>
      <c r="Z334" s="6">
        <f t="shared" si="88"/>
        <v>1771</v>
      </c>
      <c r="AA334" s="11" t="s">
        <v>10</v>
      </c>
      <c r="AB334" s="7">
        <f t="shared" si="89"/>
        <v>93.21052631578948</v>
      </c>
    </row>
    <row r="335" spans="14:28" ht="13.5">
      <c r="N335" s="3">
        <v>40077</v>
      </c>
      <c r="O335" t="s">
        <v>17</v>
      </c>
      <c r="Q335" s="6">
        <v>960</v>
      </c>
      <c r="R335" s="7">
        <f t="shared" si="83"/>
        <v>2935</v>
      </c>
      <c r="S335" s="11" t="s">
        <v>136</v>
      </c>
      <c r="T335" s="7">
        <f t="shared" si="85"/>
        <v>293.5</v>
      </c>
      <c r="V335" s="3">
        <v>40280</v>
      </c>
      <c r="W335" t="s">
        <v>660</v>
      </c>
      <c r="X335" s="7"/>
      <c r="Y335" s="7">
        <v>62</v>
      </c>
      <c r="Z335" s="6">
        <f t="shared" si="88"/>
        <v>1709</v>
      </c>
      <c r="AA335" s="11" t="s">
        <v>10</v>
      </c>
      <c r="AB335" s="7">
        <f t="shared" si="89"/>
        <v>89.94736842105263</v>
      </c>
    </row>
    <row r="336" spans="14:28" ht="13.5">
      <c r="N336" s="3">
        <v>40077</v>
      </c>
      <c r="O336" t="s">
        <v>276</v>
      </c>
      <c r="Q336" s="6">
        <v>210</v>
      </c>
      <c r="R336" s="7">
        <f t="shared" si="83"/>
        <v>2725</v>
      </c>
      <c r="S336" s="11" t="s">
        <v>136</v>
      </c>
      <c r="T336" s="7">
        <f t="shared" si="85"/>
        <v>272.5</v>
      </c>
      <c r="V336" s="3">
        <v>40280</v>
      </c>
      <c r="W336" t="s">
        <v>661</v>
      </c>
      <c r="X336" s="7"/>
      <c r="Y336" s="7">
        <v>300</v>
      </c>
      <c r="Z336" s="6">
        <f t="shared" si="88"/>
        <v>1409</v>
      </c>
      <c r="AA336" s="11" t="s">
        <v>10</v>
      </c>
      <c r="AB336" s="7">
        <f t="shared" si="89"/>
        <v>74.15789473684211</v>
      </c>
    </row>
    <row r="337" spans="14:28" ht="13.5">
      <c r="N337" s="3">
        <v>40079</v>
      </c>
      <c r="O337" t="s">
        <v>127</v>
      </c>
      <c r="Q337" s="6">
        <v>105</v>
      </c>
      <c r="R337" s="7">
        <f t="shared" si="83"/>
        <v>2620</v>
      </c>
      <c r="S337" s="11" t="s">
        <v>136</v>
      </c>
      <c r="T337" s="7">
        <f t="shared" si="85"/>
        <v>327.5</v>
      </c>
      <c r="V337" s="3">
        <v>40282</v>
      </c>
      <c r="W337" t="s">
        <v>131</v>
      </c>
      <c r="X337" s="7"/>
      <c r="Y337" s="7">
        <v>105</v>
      </c>
      <c r="Z337" s="6">
        <f t="shared" si="88"/>
        <v>1304</v>
      </c>
      <c r="AA337" s="11" t="s">
        <v>10</v>
      </c>
      <c r="AB337" s="7">
        <f t="shared" si="89"/>
        <v>76.70588235294117</v>
      </c>
    </row>
    <row r="338" spans="14:28" ht="13.5">
      <c r="N338" s="3">
        <v>40081</v>
      </c>
      <c r="O338" t="s">
        <v>17</v>
      </c>
      <c r="Q338" s="6">
        <v>960</v>
      </c>
      <c r="R338" s="7">
        <f t="shared" si="83"/>
        <v>1660</v>
      </c>
      <c r="S338" s="11" t="s">
        <v>136</v>
      </c>
      <c r="T338" s="7">
        <f t="shared" si="85"/>
        <v>276.6666666666667</v>
      </c>
      <c r="V338" s="3">
        <v>40282</v>
      </c>
      <c r="W338" t="s">
        <v>429</v>
      </c>
      <c r="X338" s="7"/>
      <c r="Y338" s="7">
        <v>105</v>
      </c>
      <c r="Z338" s="6">
        <f t="shared" si="88"/>
        <v>1199</v>
      </c>
      <c r="AA338" s="11" t="s">
        <v>10</v>
      </c>
      <c r="AB338" s="7">
        <f t="shared" si="89"/>
        <v>70.52941176470588</v>
      </c>
    </row>
    <row r="339" spans="14:28" ht="13.5">
      <c r="N339" s="3">
        <v>40081</v>
      </c>
      <c r="O339" t="s">
        <v>277</v>
      </c>
      <c r="Q339" s="6">
        <f>105*4</f>
        <v>420</v>
      </c>
      <c r="R339" s="7">
        <f t="shared" si="83"/>
        <v>1240</v>
      </c>
      <c r="S339" s="11" t="s">
        <v>136</v>
      </c>
      <c r="T339" s="7">
        <f t="shared" si="85"/>
        <v>206.66666666666666</v>
      </c>
      <c r="V339" s="3">
        <v>40282</v>
      </c>
      <c r="W339" t="s">
        <v>547</v>
      </c>
      <c r="X339" s="7"/>
      <c r="Y339" s="7">
        <v>105</v>
      </c>
      <c r="Z339" s="6">
        <f t="shared" si="88"/>
        <v>1094</v>
      </c>
      <c r="AA339" s="11" t="s">
        <v>10</v>
      </c>
      <c r="AB339" s="7">
        <f t="shared" si="89"/>
        <v>64.3529411764706</v>
      </c>
    </row>
    <row r="340" spans="14:28" ht="13.5">
      <c r="N340" s="3">
        <v>40081</v>
      </c>
      <c r="O340" t="s">
        <v>31</v>
      </c>
      <c r="P340">
        <v>500</v>
      </c>
      <c r="R340" s="7">
        <f t="shared" si="83"/>
        <v>1740</v>
      </c>
      <c r="S340" s="11" t="s">
        <v>136</v>
      </c>
      <c r="T340" s="7">
        <f t="shared" si="85"/>
        <v>290</v>
      </c>
      <c r="V340" s="3">
        <v>40283</v>
      </c>
      <c r="W340" t="s">
        <v>626</v>
      </c>
      <c r="X340" s="7">
        <v>132000</v>
      </c>
      <c r="Y340" s="7"/>
      <c r="Z340" s="6">
        <f t="shared" si="88"/>
        <v>133094</v>
      </c>
      <c r="AA340" s="11" t="s">
        <v>10</v>
      </c>
      <c r="AB340" s="7">
        <f t="shared" si="89"/>
        <v>8318.375</v>
      </c>
    </row>
    <row r="341" spans="14:28" ht="13.5">
      <c r="N341" s="3">
        <v>40084</v>
      </c>
      <c r="O341" t="s">
        <v>17</v>
      </c>
      <c r="Q341" s="6">
        <v>960</v>
      </c>
      <c r="R341" s="7">
        <f t="shared" si="83"/>
        <v>780</v>
      </c>
      <c r="S341" s="11" t="s">
        <v>136</v>
      </c>
      <c r="T341" s="7">
        <f t="shared" si="85"/>
        <v>260</v>
      </c>
      <c r="V341" s="3">
        <v>40283</v>
      </c>
      <c r="W341" t="s">
        <v>662</v>
      </c>
      <c r="X341" s="7"/>
      <c r="Y341" s="7">
        <v>5086</v>
      </c>
      <c r="Z341" s="6">
        <f t="shared" si="88"/>
        <v>128008</v>
      </c>
      <c r="AA341" s="11" t="s">
        <v>10</v>
      </c>
      <c r="AB341" s="7">
        <f t="shared" si="89"/>
        <v>8000.5</v>
      </c>
    </row>
    <row r="342" spans="14:28" ht="13.5">
      <c r="N342" s="3">
        <v>40084</v>
      </c>
      <c r="O342" t="s">
        <v>278</v>
      </c>
      <c r="Q342" s="6">
        <v>430</v>
      </c>
      <c r="R342" s="7">
        <f t="shared" si="83"/>
        <v>350</v>
      </c>
      <c r="S342" s="11" t="s">
        <v>136</v>
      </c>
      <c r="T342" s="7">
        <f t="shared" si="85"/>
        <v>116.66666666666667</v>
      </c>
      <c r="V342" s="3">
        <v>40283</v>
      </c>
      <c r="W342" t="s">
        <v>663</v>
      </c>
      <c r="X342" s="7"/>
      <c r="Y342" s="7">
        <v>3775</v>
      </c>
      <c r="Z342" s="6">
        <f t="shared" si="88"/>
        <v>124233</v>
      </c>
      <c r="AA342" s="11" t="s">
        <v>10</v>
      </c>
      <c r="AB342" s="7">
        <f t="shared" si="89"/>
        <v>7764.5625</v>
      </c>
    </row>
    <row r="343" spans="14:28" ht="13.5">
      <c r="N343" s="3">
        <v>40084</v>
      </c>
      <c r="O343" t="s">
        <v>113</v>
      </c>
      <c r="Q343" s="6">
        <v>300</v>
      </c>
      <c r="R343" s="7">
        <f t="shared" si="83"/>
        <v>50</v>
      </c>
      <c r="S343" s="11" t="s">
        <v>136</v>
      </c>
      <c r="T343" s="7">
        <f>+R343/(40087-N343)</f>
        <v>16.666666666666668</v>
      </c>
      <c r="V343" s="3">
        <v>40283</v>
      </c>
      <c r="W343" t="s">
        <v>664</v>
      </c>
      <c r="X343" s="7"/>
      <c r="Y343" s="7">
        <f>2305+2286</f>
        <v>4591</v>
      </c>
      <c r="Z343" s="6">
        <f t="shared" si="88"/>
        <v>119642</v>
      </c>
      <c r="AA343" s="11" t="s">
        <v>10</v>
      </c>
      <c r="AB343" s="7">
        <f t="shared" si="89"/>
        <v>7477.625</v>
      </c>
    </row>
    <row r="344" spans="14:28" ht="13.5">
      <c r="N344" s="3">
        <v>40087</v>
      </c>
      <c r="O344" t="s">
        <v>29</v>
      </c>
      <c r="P344">
        <v>42000</v>
      </c>
      <c r="Q344" s="7"/>
      <c r="R344" s="7">
        <f t="shared" si="83"/>
        <v>42050</v>
      </c>
      <c r="S344" s="11" t="s">
        <v>136</v>
      </c>
      <c r="T344" s="7">
        <f aca="true" t="shared" si="90" ref="T344:T357">+R344/(40118-N344)</f>
        <v>1356.4516129032259</v>
      </c>
      <c r="V344" s="3">
        <v>40283</v>
      </c>
      <c r="W344" t="s">
        <v>665</v>
      </c>
      <c r="X344" s="7"/>
      <c r="Y344" s="7">
        <v>5086</v>
      </c>
      <c r="Z344" s="6">
        <f t="shared" si="88"/>
        <v>114556</v>
      </c>
      <c r="AA344" s="11" t="s">
        <v>10</v>
      </c>
      <c r="AB344" s="7">
        <f t="shared" si="89"/>
        <v>7159.75</v>
      </c>
    </row>
    <row r="345" spans="14:28" ht="13.5">
      <c r="N345" s="3">
        <v>40087</v>
      </c>
      <c r="O345" t="s">
        <v>274</v>
      </c>
      <c r="Q345" s="7">
        <f>300*5</f>
        <v>1500</v>
      </c>
      <c r="R345" s="7">
        <f t="shared" si="83"/>
        <v>40550</v>
      </c>
      <c r="S345" s="11" t="s">
        <v>136</v>
      </c>
      <c r="T345" s="7">
        <f t="shared" si="90"/>
        <v>1308.0645161290322</v>
      </c>
      <c r="V345" s="3">
        <v>40283</v>
      </c>
      <c r="W345" t="s">
        <v>666</v>
      </c>
      <c r="X345" s="7"/>
      <c r="Y345" s="7">
        <v>4428</v>
      </c>
      <c r="Z345" s="6">
        <f t="shared" si="88"/>
        <v>110128</v>
      </c>
      <c r="AA345" s="11" t="s">
        <v>10</v>
      </c>
      <c r="AB345" s="7">
        <f t="shared" si="89"/>
        <v>6883</v>
      </c>
    </row>
    <row r="346" spans="14:28" ht="13.5">
      <c r="N346" s="3">
        <v>40087</v>
      </c>
      <c r="O346" t="s">
        <v>120</v>
      </c>
      <c r="Q346" s="6">
        <f>650+513</f>
        <v>1163</v>
      </c>
      <c r="R346" s="7">
        <f t="shared" si="83"/>
        <v>39387</v>
      </c>
      <c r="S346" s="11" t="s">
        <v>136</v>
      </c>
      <c r="T346" s="7">
        <f t="shared" si="90"/>
        <v>1270.5483870967741</v>
      </c>
      <c r="V346" s="3">
        <v>40283</v>
      </c>
      <c r="W346" t="s">
        <v>703</v>
      </c>
      <c r="X346" s="7"/>
      <c r="Y346" s="7">
        <v>8102</v>
      </c>
      <c r="Z346" s="6">
        <f t="shared" si="88"/>
        <v>102026</v>
      </c>
      <c r="AA346" s="11" t="s">
        <v>10</v>
      </c>
      <c r="AB346" s="7">
        <f t="shared" si="89"/>
        <v>6376.625</v>
      </c>
    </row>
    <row r="347" spans="14:28" ht="13.5">
      <c r="N347" s="3">
        <v>40087</v>
      </c>
      <c r="O347" t="s">
        <v>279</v>
      </c>
      <c r="Q347" s="7">
        <f>2003-1163</f>
        <v>840</v>
      </c>
      <c r="R347" s="7">
        <f t="shared" si="83"/>
        <v>38547</v>
      </c>
      <c r="S347" s="11" t="s">
        <v>136</v>
      </c>
      <c r="T347" s="7">
        <f t="shared" si="90"/>
        <v>1243.4516129032259</v>
      </c>
      <c r="V347" s="3">
        <v>40283</v>
      </c>
      <c r="W347" t="s">
        <v>24</v>
      </c>
      <c r="X347" s="7"/>
      <c r="Y347" s="7">
        <v>2656</v>
      </c>
      <c r="Z347" s="6">
        <f t="shared" si="88"/>
        <v>99370</v>
      </c>
      <c r="AA347" s="11" t="s">
        <v>10</v>
      </c>
      <c r="AB347" s="7">
        <f t="shared" si="89"/>
        <v>6210.625</v>
      </c>
    </row>
    <row r="348" spans="14:28" ht="13.5">
      <c r="N348" s="3">
        <v>40087</v>
      </c>
      <c r="O348" t="s">
        <v>101</v>
      </c>
      <c r="Q348" s="6">
        <v>120</v>
      </c>
      <c r="R348" s="7">
        <f t="shared" si="83"/>
        <v>38427</v>
      </c>
      <c r="S348" s="11" t="s">
        <v>136</v>
      </c>
      <c r="T348" s="7">
        <f t="shared" si="90"/>
        <v>1239.5806451612902</v>
      </c>
      <c r="V348" s="3">
        <v>40283</v>
      </c>
      <c r="W348" t="s">
        <v>667</v>
      </c>
      <c r="X348" s="7"/>
      <c r="Y348" s="7">
        <v>3373</v>
      </c>
      <c r="Z348" s="6">
        <f t="shared" si="88"/>
        <v>95997</v>
      </c>
      <c r="AA348" s="11" t="s">
        <v>10</v>
      </c>
      <c r="AB348" s="7">
        <f t="shared" si="89"/>
        <v>5999.8125</v>
      </c>
    </row>
    <row r="349" spans="14:28" ht="13.5">
      <c r="N349" s="3">
        <v>40088</v>
      </c>
      <c r="O349" t="s">
        <v>269</v>
      </c>
      <c r="Q349" s="6">
        <f>3859+4066</f>
        <v>7925</v>
      </c>
      <c r="R349" s="7">
        <f t="shared" si="83"/>
        <v>30502</v>
      </c>
      <c r="S349" s="11" t="s">
        <v>136</v>
      </c>
      <c r="T349" s="7">
        <f t="shared" si="90"/>
        <v>1016.7333333333333</v>
      </c>
      <c r="V349" s="3">
        <v>40283</v>
      </c>
      <c r="W349" t="s">
        <v>668</v>
      </c>
      <c r="X349" s="7"/>
      <c r="Y349" s="7">
        <v>8781</v>
      </c>
      <c r="Z349" s="6">
        <f t="shared" si="88"/>
        <v>87216</v>
      </c>
      <c r="AA349" s="11" t="s">
        <v>10</v>
      </c>
      <c r="AB349" s="7">
        <f t="shared" si="89"/>
        <v>5451</v>
      </c>
    </row>
    <row r="350" spans="14:28" ht="13.5">
      <c r="N350" s="3">
        <v>40088</v>
      </c>
      <c r="O350" t="s">
        <v>280</v>
      </c>
      <c r="Q350" s="6">
        <v>189</v>
      </c>
      <c r="R350" s="7">
        <f t="shared" si="83"/>
        <v>30313</v>
      </c>
      <c r="S350" s="11" t="s">
        <v>136</v>
      </c>
      <c r="T350" s="7">
        <f t="shared" si="90"/>
        <v>1010.4333333333333</v>
      </c>
      <c r="V350" s="3">
        <v>40283</v>
      </c>
      <c r="W350" t="s">
        <v>669</v>
      </c>
      <c r="X350" s="7"/>
      <c r="Y350" s="7">
        <v>9075</v>
      </c>
      <c r="Z350" s="6">
        <f t="shared" si="88"/>
        <v>78141</v>
      </c>
      <c r="AA350" s="11" t="s">
        <v>10</v>
      </c>
      <c r="AB350" s="7">
        <f t="shared" si="89"/>
        <v>4883.8125</v>
      </c>
    </row>
    <row r="351" spans="14:28" ht="13.5">
      <c r="N351" s="3">
        <v>40088</v>
      </c>
      <c r="O351" t="s">
        <v>281</v>
      </c>
      <c r="Q351" s="7">
        <v>430</v>
      </c>
      <c r="R351" s="7">
        <f t="shared" si="83"/>
        <v>29883</v>
      </c>
      <c r="S351" s="11" t="s">
        <v>136</v>
      </c>
      <c r="T351" s="7">
        <f t="shared" si="90"/>
        <v>996.1</v>
      </c>
      <c r="V351" s="3">
        <v>40283</v>
      </c>
      <c r="W351" t="s">
        <v>670</v>
      </c>
      <c r="X351" s="7"/>
      <c r="Y351" s="7">
        <v>5000</v>
      </c>
      <c r="Z351" s="6">
        <f t="shared" si="88"/>
        <v>73141</v>
      </c>
      <c r="AA351" s="11" t="s">
        <v>10</v>
      </c>
      <c r="AB351" s="7">
        <f t="shared" si="89"/>
        <v>4571.3125</v>
      </c>
    </row>
    <row r="352" spans="14:28" ht="13.5">
      <c r="N352" s="3">
        <v>40088</v>
      </c>
      <c r="O352" t="s">
        <v>282</v>
      </c>
      <c r="Q352" s="6">
        <v>430</v>
      </c>
      <c r="R352" s="7">
        <f t="shared" si="83"/>
        <v>29453</v>
      </c>
      <c r="S352" s="11" t="s">
        <v>136</v>
      </c>
      <c r="T352" s="7">
        <f t="shared" si="90"/>
        <v>981.7666666666667</v>
      </c>
      <c r="V352" s="3">
        <v>40283</v>
      </c>
      <c r="W352" t="s">
        <v>582</v>
      </c>
      <c r="X352" s="7"/>
      <c r="Y352" s="7">
        <f>15892+120+12260+120</f>
        <v>28392</v>
      </c>
      <c r="Z352" s="6">
        <f t="shared" si="88"/>
        <v>44749</v>
      </c>
      <c r="AA352" s="11" t="s">
        <v>10</v>
      </c>
      <c r="AB352" s="7">
        <f t="shared" si="89"/>
        <v>2796.8125</v>
      </c>
    </row>
    <row r="353" spans="14:28" ht="13.5">
      <c r="N353" s="3">
        <v>40088</v>
      </c>
      <c r="O353" t="s">
        <v>283</v>
      </c>
      <c r="Q353" s="7">
        <v>100</v>
      </c>
      <c r="R353" s="7">
        <f t="shared" si="83"/>
        <v>29353</v>
      </c>
      <c r="S353" s="11" t="s">
        <v>136</v>
      </c>
      <c r="T353" s="7">
        <f t="shared" si="90"/>
        <v>978.4333333333333</v>
      </c>
      <c r="V353" s="3">
        <v>40283</v>
      </c>
      <c r="W353" t="s">
        <v>671</v>
      </c>
      <c r="X353" s="7"/>
      <c r="Y353" s="7">
        <f>300*10</f>
        <v>3000</v>
      </c>
      <c r="Z353" s="6">
        <f t="shared" si="88"/>
        <v>41749</v>
      </c>
      <c r="AA353" s="11" t="s">
        <v>10</v>
      </c>
      <c r="AB353" s="7">
        <f t="shared" si="89"/>
        <v>2609.3125</v>
      </c>
    </row>
    <row r="354" spans="14:28" ht="13.5">
      <c r="N354" s="3">
        <v>40088</v>
      </c>
      <c r="O354" t="s">
        <v>284</v>
      </c>
      <c r="Q354" s="7">
        <v>1000</v>
      </c>
      <c r="R354" s="7">
        <f t="shared" si="83"/>
        <v>28353</v>
      </c>
      <c r="S354" s="11" t="s">
        <v>136</v>
      </c>
      <c r="T354" s="7">
        <f t="shared" si="90"/>
        <v>945.1</v>
      </c>
      <c r="V354" s="3">
        <v>40283</v>
      </c>
      <c r="W354" t="s">
        <v>672</v>
      </c>
      <c r="X354" s="7"/>
      <c r="Y354" s="7">
        <v>178</v>
      </c>
      <c r="Z354" s="6">
        <f t="shared" si="88"/>
        <v>41571</v>
      </c>
      <c r="AA354" s="11" t="s">
        <v>10</v>
      </c>
      <c r="AB354" s="7">
        <f t="shared" si="89"/>
        <v>2598.1875</v>
      </c>
    </row>
    <row r="355" spans="14:28" ht="13.5">
      <c r="N355" s="3">
        <v>40088</v>
      </c>
      <c r="O355" t="s">
        <v>285</v>
      </c>
      <c r="Q355" s="7">
        <v>3235</v>
      </c>
      <c r="R355" s="7">
        <f t="shared" si="83"/>
        <v>25118</v>
      </c>
      <c r="S355" s="11" t="s">
        <v>136</v>
      </c>
      <c r="T355" s="7">
        <f t="shared" si="90"/>
        <v>837.2666666666667</v>
      </c>
      <c r="V355" s="3">
        <v>40283</v>
      </c>
      <c r="W355" t="s">
        <v>673</v>
      </c>
      <c r="X355" s="7"/>
      <c r="Y355" s="7">
        <v>690</v>
      </c>
      <c r="Z355" s="6">
        <f t="shared" si="88"/>
        <v>40881</v>
      </c>
      <c r="AA355" s="11" t="s">
        <v>10</v>
      </c>
      <c r="AB355" s="7">
        <f t="shared" si="89"/>
        <v>2555.0625</v>
      </c>
    </row>
    <row r="356" spans="14:28" ht="13.5">
      <c r="N356" s="3">
        <v>40088</v>
      </c>
      <c r="O356" t="s">
        <v>120</v>
      </c>
      <c r="Q356" s="7">
        <f>543+543</f>
        <v>1086</v>
      </c>
      <c r="R356" s="7">
        <f t="shared" si="83"/>
        <v>24032</v>
      </c>
      <c r="S356" s="11" t="s">
        <v>136</v>
      </c>
      <c r="T356" s="7">
        <f t="shared" si="90"/>
        <v>801.0666666666667</v>
      </c>
      <c r="V356" s="3">
        <v>40283</v>
      </c>
      <c r="W356" t="s">
        <v>674</v>
      </c>
      <c r="X356" s="7"/>
      <c r="Y356" s="7">
        <v>408</v>
      </c>
      <c r="Z356" s="6">
        <f t="shared" si="88"/>
        <v>40473</v>
      </c>
      <c r="AA356" s="11" t="s">
        <v>10</v>
      </c>
      <c r="AB356" s="7">
        <f t="shared" si="89"/>
        <v>2529.5625</v>
      </c>
    </row>
    <row r="357" spans="14:28" ht="13.5">
      <c r="N357" s="3">
        <v>40088</v>
      </c>
      <c r="O357" t="s">
        <v>286</v>
      </c>
      <c r="Q357" s="7">
        <f>1647-1086</f>
        <v>561</v>
      </c>
      <c r="R357" s="7">
        <f t="shared" si="83"/>
        <v>23471</v>
      </c>
      <c r="S357" s="11" t="s">
        <v>136</v>
      </c>
      <c r="T357" s="7">
        <f t="shared" si="90"/>
        <v>782.3666666666667</v>
      </c>
      <c r="V357" s="3">
        <v>40283</v>
      </c>
      <c r="W357" t="s">
        <v>675</v>
      </c>
      <c r="X357" s="7"/>
      <c r="Y357" s="7">
        <v>780</v>
      </c>
      <c r="Z357" s="6">
        <f t="shared" si="88"/>
        <v>39693</v>
      </c>
      <c r="AA357" s="11" t="s">
        <v>10</v>
      </c>
      <c r="AB357" s="7">
        <f t="shared" si="89"/>
        <v>2480.8125</v>
      </c>
    </row>
    <row r="358" spans="14:28" ht="13.5">
      <c r="N358" s="3">
        <v>40088</v>
      </c>
      <c r="O358" t="s">
        <v>288</v>
      </c>
      <c r="Q358" s="7">
        <f>7750-5600</f>
        <v>2150</v>
      </c>
      <c r="R358" s="7">
        <f>+R357+P358-Q358</f>
        <v>21321</v>
      </c>
      <c r="S358" s="11" t="s">
        <v>136</v>
      </c>
      <c r="T358" s="7">
        <f>+R358/(40118-N358)</f>
        <v>710.7</v>
      </c>
      <c r="V358" s="3">
        <v>40283</v>
      </c>
      <c r="W358" t="s">
        <v>676</v>
      </c>
      <c r="X358" s="7"/>
      <c r="Y358" s="7">
        <v>200</v>
      </c>
      <c r="Z358" s="6">
        <f t="shared" si="88"/>
        <v>39493</v>
      </c>
      <c r="AA358" s="11" t="s">
        <v>10</v>
      </c>
      <c r="AB358" s="7">
        <f t="shared" si="89"/>
        <v>2468.3125</v>
      </c>
    </row>
    <row r="359" spans="14:28" ht="13.5">
      <c r="N359" s="3">
        <v>40088</v>
      </c>
      <c r="O359" t="s">
        <v>287</v>
      </c>
      <c r="Q359" s="6">
        <f>140*40</f>
        <v>5600</v>
      </c>
      <c r="R359" s="7">
        <f>+R358+P359-Q359</f>
        <v>15721</v>
      </c>
      <c r="S359" s="11" t="s">
        <v>136</v>
      </c>
      <c r="T359" s="7">
        <f>+R359/(40118-N359)</f>
        <v>524.0333333333333</v>
      </c>
      <c r="V359" s="3">
        <v>40283</v>
      </c>
      <c r="W359" t="s">
        <v>677</v>
      </c>
      <c r="X359" s="7"/>
      <c r="Y359" s="7">
        <v>168</v>
      </c>
      <c r="Z359" s="6">
        <f t="shared" si="88"/>
        <v>39325</v>
      </c>
      <c r="AA359" s="11" t="s">
        <v>10</v>
      </c>
      <c r="AB359" s="7">
        <f t="shared" si="89"/>
        <v>2457.8125</v>
      </c>
    </row>
    <row r="360" spans="14:28" ht="13.5">
      <c r="N360" s="3">
        <v>40090</v>
      </c>
      <c r="O360" t="s">
        <v>289</v>
      </c>
      <c r="Q360" s="7">
        <v>1785</v>
      </c>
      <c r="R360" s="7">
        <f>+R359+P360-Q360</f>
        <v>13936</v>
      </c>
      <c r="S360" s="11" t="s">
        <v>136</v>
      </c>
      <c r="T360" s="7">
        <f>+R360/(40118-N360)</f>
        <v>497.7142857142857</v>
      </c>
      <c r="V360" s="3">
        <v>40283</v>
      </c>
      <c r="W360" t="s">
        <v>547</v>
      </c>
      <c r="X360" s="7"/>
      <c r="Y360" s="7">
        <v>168</v>
      </c>
      <c r="Z360" s="6">
        <f t="shared" si="88"/>
        <v>39157</v>
      </c>
      <c r="AA360" s="11" t="s">
        <v>10</v>
      </c>
      <c r="AB360" s="7">
        <f t="shared" si="89"/>
        <v>2447.3125</v>
      </c>
    </row>
    <row r="361" spans="14:28" ht="13.5">
      <c r="N361" s="3">
        <v>40090</v>
      </c>
      <c r="O361" t="s">
        <v>40</v>
      </c>
      <c r="Q361" s="7">
        <v>120</v>
      </c>
      <c r="R361" s="7">
        <f aca="true" t="shared" si="91" ref="R361:R385">+R360+P361-Q361</f>
        <v>13816</v>
      </c>
      <c r="S361" s="11" t="s">
        <v>136</v>
      </c>
      <c r="T361" s="7">
        <f aca="true" t="shared" si="92" ref="T361:T385">+R361/(40118-N361)</f>
        <v>493.42857142857144</v>
      </c>
      <c r="V361" s="3">
        <v>40283</v>
      </c>
      <c r="W361" t="s">
        <v>614</v>
      </c>
      <c r="X361" s="7"/>
      <c r="Y361" s="7">
        <v>155</v>
      </c>
      <c r="Z361" s="6">
        <f t="shared" si="88"/>
        <v>39002</v>
      </c>
      <c r="AA361" s="11" t="s">
        <v>10</v>
      </c>
      <c r="AB361" s="7">
        <f t="shared" si="89"/>
        <v>2437.625</v>
      </c>
    </row>
    <row r="362" spans="14:28" ht="13.5">
      <c r="N362" s="3">
        <v>40091</v>
      </c>
      <c r="O362" t="s">
        <v>17</v>
      </c>
      <c r="Q362" s="7">
        <v>1060</v>
      </c>
      <c r="R362" s="7">
        <f t="shared" si="91"/>
        <v>12756</v>
      </c>
      <c r="S362" s="11" t="s">
        <v>136</v>
      </c>
      <c r="T362" s="7">
        <f t="shared" si="92"/>
        <v>472.44444444444446</v>
      </c>
      <c r="V362" s="3">
        <v>40283</v>
      </c>
      <c r="W362" t="s">
        <v>678</v>
      </c>
      <c r="X362" s="7"/>
      <c r="Y362" s="7">
        <v>323</v>
      </c>
      <c r="Z362" s="6">
        <f t="shared" si="88"/>
        <v>38679</v>
      </c>
      <c r="AA362" s="11" t="s">
        <v>10</v>
      </c>
      <c r="AB362" s="7">
        <f t="shared" si="89"/>
        <v>2417.4375</v>
      </c>
    </row>
    <row r="363" spans="14:28" ht="13.5">
      <c r="N363" s="3">
        <v>40091</v>
      </c>
      <c r="O363" t="s">
        <v>31</v>
      </c>
      <c r="Q363" s="7">
        <v>500</v>
      </c>
      <c r="R363" s="7">
        <f t="shared" si="91"/>
        <v>12256</v>
      </c>
      <c r="S363" s="11" t="s">
        <v>136</v>
      </c>
      <c r="T363" s="7">
        <f t="shared" si="92"/>
        <v>453.9259259259259</v>
      </c>
      <c r="V363" s="3">
        <v>40283</v>
      </c>
      <c r="W363" t="s">
        <v>679</v>
      </c>
      <c r="X363" s="7"/>
      <c r="Y363" s="7">
        <v>229</v>
      </c>
      <c r="Z363" s="6">
        <f t="shared" si="88"/>
        <v>38450</v>
      </c>
      <c r="AA363" s="11" t="s">
        <v>10</v>
      </c>
      <c r="AB363" s="7">
        <f t="shared" si="89"/>
        <v>2403.125</v>
      </c>
    </row>
    <row r="364" spans="14:28" ht="13.5">
      <c r="N364" s="3">
        <v>40091</v>
      </c>
      <c r="O364" t="s">
        <v>129</v>
      </c>
      <c r="Q364" s="7">
        <v>198</v>
      </c>
      <c r="R364" s="7">
        <f t="shared" si="91"/>
        <v>12058</v>
      </c>
      <c r="S364" s="11" t="s">
        <v>136</v>
      </c>
      <c r="T364" s="7">
        <f t="shared" si="92"/>
        <v>446.5925925925926</v>
      </c>
      <c r="V364" s="3">
        <v>40283</v>
      </c>
      <c r="W364" t="s">
        <v>680</v>
      </c>
      <c r="X364" s="7"/>
      <c r="Y364" s="7">
        <v>197</v>
      </c>
      <c r="Z364" s="6">
        <f t="shared" si="88"/>
        <v>38253</v>
      </c>
      <c r="AA364" s="11" t="s">
        <v>10</v>
      </c>
      <c r="AB364" s="7">
        <f t="shared" si="89"/>
        <v>2390.8125</v>
      </c>
    </row>
    <row r="365" spans="14:28" ht="13.5">
      <c r="N365" s="3">
        <v>40091</v>
      </c>
      <c r="O365" t="s">
        <v>290</v>
      </c>
      <c r="Q365" s="7">
        <v>528</v>
      </c>
      <c r="R365" s="7">
        <f t="shared" si="91"/>
        <v>11530</v>
      </c>
      <c r="S365" s="11" t="s">
        <v>136</v>
      </c>
      <c r="T365" s="7">
        <f t="shared" si="92"/>
        <v>427.037037037037</v>
      </c>
      <c r="V365" s="3">
        <v>40283</v>
      </c>
      <c r="W365" t="s">
        <v>681</v>
      </c>
      <c r="X365" s="7"/>
      <c r="Y365" s="7">
        <v>450</v>
      </c>
      <c r="Z365" s="6">
        <f t="shared" si="88"/>
        <v>37803</v>
      </c>
      <c r="AA365" s="11" t="s">
        <v>10</v>
      </c>
      <c r="AB365" s="7">
        <f t="shared" si="89"/>
        <v>2362.6875</v>
      </c>
    </row>
    <row r="366" spans="14:28" ht="13.5">
      <c r="N366" s="3">
        <v>40091</v>
      </c>
      <c r="O366" t="s">
        <v>291</v>
      </c>
      <c r="Q366" s="7">
        <v>1470</v>
      </c>
      <c r="R366" s="7">
        <f t="shared" si="91"/>
        <v>10060</v>
      </c>
      <c r="S366" s="11" t="s">
        <v>136</v>
      </c>
      <c r="T366" s="7">
        <f t="shared" si="92"/>
        <v>372.5925925925926</v>
      </c>
      <c r="V366" s="3">
        <v>40283</v>
      </c>
      <c r="W366" t="s">
        <v>682</v>
      </c>
      <c r="X366" s="7"/>
      <c r="Y366" s="7">
        <v>380</v>
      </c>
      <c r="Z366" s="6">
        <f t="shared" si="88"/>
        <v>37423</v>
      </c>
      <c r="AA366" s="11" t="s">
        <v>10</v>
      </c>
      <c r="AB366" s="7">
        <f t="shared" si="89"/>
        <v>2338.9375</v>
      </c>
    </row>
    <row r="367" spans="14:28" ht="13.5">
      <c r="N367" s="3">
        <v>40093</v>
      </c>
      <c r="O367" t="s">
        <v>292</v>
      </c>
      <c r="Q367" s="7">
        <v>4180</v>
      </c>
      <c r="R367" s="7">
        <f t="shared" si="91"/>
        <v>5880</v>
      </c>
      <c r="S367" s="11" t="s">
        <v>136</v>
      </c>
      <c r="T367" s="7">
        <f t="shared" si="92"/>
        <v>235.2</v>
      </c>
      <c r="V367" s="3">
        <v>40283</v>
      </c>
      <c r="W367" t="s">
        <v>26</v>
      </c>
      <c r="X367" s="7"/>
      <c r="Y367" s="7">
        <v>4410</v>
      </c>
      <c r="Z367" s="6">
        <f t="shared" si="88"/>
        <v>33013</v>
      </c>
      <c r="AA367" s="11" t="s">
        <v>10</v>
      </c>
      <c r="AB367" s="7">
        <f t="shared" si="89"/>
        <v>2063.3125</v>
      </c>
    </row>
    <row r="368" spans="14:28" ht="13.5">
      <c r="N368" s="3">
        <v>40093</v>
      </c>
      <c r="O368" t="s">
        <v>40</v>
      </c>
      <c r="Q368" s="7">
        <v>120</v>
      </c>
      <c r="R368" s="7">
        <f t="shared" si="91"/>
        <v>5760</v>
      </c>
      <c r="S368" s="11" t="s">
        <v>136</v>
      </c>
      <c r="T368" s="7">
        <f t="shared" si="92"/>
        <v>230.4</v>
      </c>
      <c r="V368" s="3">
        <v>40283</v>
      </c>
      <c r="W368" t="s">
        <v>740</v>
      </c>
      <c r="X368" s="7"/>
      <c r="Y368" s="7">
        <v>4500</v>
      </c>
      <c r="Z368" s="6">
        <f t="shared" si="88"/>
        <v>28513</v>
      </c>
      <c r="AA368" s="30" t="s">
        <v>426</v>
      </c>
      <c r="AB368" s="7">
        <f t="shared" si="89"/>
        <v>1782.0625</v>
      </c>
    </row>
    <row r="369" spans="14:28" ht="13.5">
      <c r="N369" s="3">
        <v>40095</v>
      </c>
      <c r="O369" t="s">
        <v>126</v>
      </c>
      <c r="Q369" s="7">
        <v>105</v>
      </c>
      <c r="R369" s="7">
        <f t="shared" si="91"/>
        <v>5655</v>
      </c>
      <c r="S369" s="11" t="s">
        <v>136</v>
      </c>
      <c r="T369" s="7">
        <f t="shared" si="92"/>
        <v>245.8695652173913</v>
      </c>
      <c r="V369" s="3">
        <v>40284</v>
      </c>
      <c r="W369" t="s">
        <v>50</v>
      </c>
      <c r="X369" s="7"/>
      <c r="Y369" s="7">
        <v>353</v>
      </c>
      <c r="Z369" s="6">
        <f>+Z368+X369-Y369</f>
        <v>28160</v>
      </c>
      <c r="AA369" s="26">
        <f>353/105432</f>
        <v>0.0033481296001214053</v>
      </c>
      <c r="AB369" s="7">
        <f>+Z369/(40299-V369)</f>
        <v>1877.3333333333333</v>
      </c>
    </row>
    <row r="370" spans="14:28" ht="13.5">
      <c r="N370" s="3">
        <v>40095</v>
      </c>
      <c r="O370" t="s">
        <v>294</v>
      </c>
      <c r="P370" s="7"/>
      <c r="Q370" s="7">
        <v>198</v>
      </c>
      <c r="R370" s="7">
        <f t="shared" si="91"/>
        <v>5457</v>
      </c>
      <c r="S370" s="11" t="s">
        <v>136</v>
      </c>
      <c r="T370" s="7">
        <f t="shared" si="92"/>
        <v>237.2608695652174</v>
      </c>
      <c r="V370" s="3">
        <v>40284</v>
      </c>
      <c r="W370" t="s">
        <v>120</v>
      </c>
      <c r="X370" s="7"/>
      <c r="Y370" s="7">
        <v>498</v>
      </c>
      <c r="Z370" s="6">
        <f aca="true" t="shared" si="93" ref="Z370:Z393">+Z369+X370-Y370</f>
        <v>27662</v>
      </c>
      <c r="AA370" s="11" t="s">
        <v>10</v>
      </c>
      <c r="AB370" s="7">
        <f aca="true" t="shared" si="94" ref="AB370:AB393">+Z370/(40299-V370)</f>
        <v>1844.1333333333334</v>
      </c>
    </row>
    <row r="371" spans="14:28" ht="13.5">
      <c r="N371" s="3">
        <v>40095</v>
      </c>
      <c r="O371" t="s">
        <v>120</v>
      </c>
      <c r="P371" s="7"/>
      <c r="Q371" s="7">
        <v>1086</v>
      </c>
      <c r="R371" s="7">
        <f t="shared" si="91"/>
        <v>4371</v>
      </c>
      <c r="S371" s="11" t="s">
        <v>136</v>
      </c>
      <c r="T371" s="7">
        <f t="shared" si="92"/>
        <v>190.04347826086956</v>
      </c>
      <c r="V371" s="3">
        <v>40284</v>
      </c>
      <c r="W371" t="s">
        <v>428</v>
      </c>
      <c r="X371" s="7"/>
      <c r="Y371" s="7">
        <v>298</v>
      </c>
      <c r="Z371" s="6">
        <f t="shared" si="93"/>
        <v>27364</v>
      </c>
      <c r="AA371" s="11" t="s">
        <v>10</v>
      </c>
      <c r="AB371" s="7">
        <f t="shared" si="94"/>
        <v>1824.2666666666667</v>
      </c>
    </row>
    <row r="372" spans="14:28" ht="13.5">
      <c r="N372" s="3">
        <v>40095</v>
      </c>
      <c r="O372" t="s">
        <v>159</v>
      </c>
      <c r="P372" s="7"/>
      <c r="Q372" s="7">
        <v>120</v>
      </c>
      <c r="R372" s="7">
        <f t="shared" si="91"/>
        <v>4251</v>
      </c>
      <c r="S372" s="11" t="s">
        <v>136</v>
      </c>
      <c r="T372" s="7">
        <f t="shared" si="92"/>
        <v>184.82608695652175</v>
      </c>
      <c r="V372" s="3">
        <v>40284</v>
      </c>
      <c r="W372" t="s">
        <v>547</v>
      </c>
      <c r="X372" s="7"/>
      <c r="Y372" s="7">
        <v>138</v>
      </c>
      <c r="Z372" s="6">
        <f t="shared" si="93"/>
        <v>27226</v>
      </c>
      <c r="AA372" s="11" t="s">
        <v>10</v>
      </c>
      <c r="AB372" s="7">
        <f t="shared" si="94"/>
        <v>1815.0666666666666</v>
      </c>
    </row>
    <row r="373" spans="14:28" ht="13.5">
      <c r="N373" s="3">
        <v>40097</v>
      </c>
      <c r="O373" t="s">
        <v>295</v>
      </c>
      <c r="P373" s="7"/>
      <c r="Q373" s="7">
        <v>1144</v>
      </c>
      <c r="R373" s="7">
        <f t="shared" si="91"/>
        <v>3107</v>
      </c>
      <c r="S373" s="11" t="s">
        <v>136</v>
      </c>
      <c r="T373" s="7">
        <f t="shared" si="92"/>
        <v>147.95238095238096</v>
      </c>
      <c r="V373" s="3">
        <v>40284</v>
      </c>
      <c r="W373" t="s">
        <v>235</v>
      </c>
      <c r="X373" s="7"/>
      <c r="Y373" s="7">
        <v>105</v>
      </c>
      <c r="Z373" s="6">
        <f t="shared" si="93"/>
        <v>27121</v>
      </c>
      <c r="AA373" s="11" t="s">
        <v>10</v>
      </c>
      <c r="AB373" s="7">
        <f t="shared" si="94"/>
        <v>1808.0666666666666</v>
      </c>
    </row>
    <row r="374" spans="14:28" ht="13.5">
      <c r="N374" s="3">
        <v>40098</v>
      </c>
      <c r="O374" t="s">
        <v>120</v>
      </c>
      <c r="P374" s="7"/>
      <c r="Q374" s="7">
        <f>543+543</f>
        <v>1086</v>
      </c>
      <c r="R374" s="7">
        <f t="shared" si="91"/>
        <v>2021</v>
      </c>
      <c r="S374" s="11" t="s">
        <v>136</v>
      </c>
      <c r="T374" s="7">
        <f t="shared" si="92"/>
        <v>101.05</v>
      </c>
      <c r="V374" s="3">
        <v>40284</v>
      </c>
      <c r="W374" t="s">
        <v>124</v>
      </c>
      <c r="X374" s="7"/>
      <c r="Y374" s="7">
        <v>105</v>
      </c>
      <c r="Z374" s="6">
        <f t="shared" si="93"/>
        <v>27016</v>
      </c>
      <c r="AA374" s="11" t="s">
        <v>10</v>
      </c>
      <c r="AB374" s="7">
        <f t="shared" si="94"/>
        <v>1801.0666666666666</v>
      </c>
    </row>
    <row r="375" spans="14:28" ht="13.5">
      <c r="N375" s="3">
        <v>40098</v>
      </c>
      <c r="O375" t="s">
        <v>293</v>
      </c>
      <c r="P375" s="7"/>
      <c r="Q375" s="7">
        <v>700</v>
      </c>
      <c r="R375" s="7">
        <f t="shared" si="91"/>
        <v>1321</v>
      </c>
      <c r="S375" s="11" t="s">
        <v>136</v>
      </c>
      <c r="T375" s="7">
        <f t="shared" si="92"/>
        <v>66.05</v>
      </c>
      <c r="V375" s="3">
        <v>40284</v>
      </c>
      <c r="W375" t="s">
        <v>683</v>
      </c>
      <c r="X375" s="7"/>
      <c r="Y375" s="7">
        <v>105</v>
      </c>
      <c r="Z375" s="6">
        <f t="shared" si="93"/>
        <v>26911</v>
      </c>
      <c r="AA375" s="11" t="s">
        <v>10</v>
      </c>
      <c r="AB375" s="7">
        <f t="shared" si="94"/>
        <v>1794.0666666666666</v>
      </c>
    </row>
    <row r="376" spans="14:28" ht="13.5">
      <c r="N376" s="3">
        <v>40098</v>
      </c>
      <c r="O376" t="s">
        <v>296</v>
      </c>
      <c r="P376" s="7"/>
      <c r="Q376" s="7">
        <v>525</v>
      </c>
      <c r="R376" s="7">
        <f t="shared" si="91"/>
        <v>796</v>
      </c>
      <c r="S376" s="11" t="s">
        <v>136</v>
      </c>
      <c r="T376" s="7">
        <f t="shared" si="92"/>
        <v>39.8</v>
      </c>
      <c r="V376" s="3">
        <v>40284</v>
      </c>
      <c r="W376" t="s">
        <v>684</v>
      </c>
      <c r="X376" s="7"/>
      <c r="Y376" s="7">
        <v>105</v>
      </c>
      <c r="Z376" s="6">
        <f t="shared" si="93"/>
        <v>26806</v>
      </c>
      <c r="AA376" s="11" t="s">
        <v>10</v>
      </c>
      <c r="AB376" s="7">
        <f t="shared" si="94"/>
        <v>1787.0666666666666</v>
      </c>
    </row>
    <row r="377" spans="14:28" ht="13.5">
      <c r="N377" s="3">
        <v>40101</v>
      </c>
      <c r="O377" t="s">
        <v>21</v>
      </c>
      <c r="P377" s="7">
        <v>132000</v>
      </c>
      <c r="Q377" s="7"/>
      <c r="R377" s="7">
        <f t="shared" si="91"/>
        <v>132796</v>
      </c>
      <c r="S377" s="11" t="s">
        <v>136</v>
      </c>
      <c r="T377" s="7">
        <f t="shared" si="92"/>
        <v>7811.529411764706</v>
      </c>
      <c r="V377" s="3">
        <v>40284</v>
      </c>
      <c r="W377" t="s">
        <v>685</v>
      </c>
      <c r="X377" s="7"/>
      <c r="Y377" s="7">
        <v>41</v>
      </c>
      <c r="Z377" s="6">
        <f t="shared" si="93"/>
        <v>26765</v>
      </c>
      <c r="AA377" s="11" t="s">
        <v>10</v>
      </c>
      <c r="AB377" s="7">
        <f t="shared" si="94"/>
        <v>1784.3333333333333</v>
      </c>
    </row>
    <row r="378" spans="14:28" ht="13.5">
      <c r="N378" s="3">
        <v>40101</v>
      </c>
      <c r="O378" t="s">
        <v>297</v>
      </c>
      <c r="P378" s="7"/>
      <c r="Q378" s="7">
        <v>600</v>
      </c>
      <c r="R378" s="7">
        <f t="shared" si="91"/>
        <v>132196</v>
      </c>
      <c r="S378" s="11" t="s">
        <v>136</v>
      </c>
      <c r="T378" s="7">
        <f t="shared" si="92"/>
        <v>7776.235294117647</v>
      </c>
      <c r="V378" s="3">
        <v>40284</v>
      </c>
      <c r="W378" t="s">
        <v>686</v>
      </c>
      <c r="X378" s="7"/>
      <c r="Y378" s="7">
        <v>105</v>
      </c>
      <c r="Z378" s="6">
        <f t="shared" si="93"/>
        <v>26660</v>
      </c>
      <c r="AA378" s="11" t="s">
        <v>10</v>
      </c>
      <c r="AB378" s="7">
        <f t="shared" si="94"/>
        <v>1777.3333333333333</v>
      </c>
    </row>
    <row r="379" spans="14:28" ht="13.5">
      <c r="N379" s="3">
        <v>40101</v>
      </c>
      <c r="O379" t="s">
        <v>243</v>
      </c>
      <c r="P379" s="7"/>
      <c r="Q379" s="7">
        <v>178</v>
      </c>
      <c r="R379" s="7">
        <f t="shared" si="91"/>
        <v>132018</v>
      </c>
      <c r="S379" s="11" t="s">
        <v>136</v>
      </c>
      <c r="T379" s="7">
        <f t="shared" si="92"/>
        <v>7765.764705882353</v>
      </c>
      <c r="V379" s="3">
        <v>40284</v>
      </c>
      <c r="W379" t="s">
        <v>687</v>
      </c>
      <c r="X379" s="7"/>
      <c r="Y379" s="7">
        <v>105</v>
      </c>
      <c r="Z379" s="6">
        <f t="shared" si="93"/>
        <v>26555</v>
      </c>
      <c r="AA379" s="11" t="s">
        <v>10</v>
      </c>
      <c r="AB379" s="7">
        <f t="shared" si="94"/>
        <v>1770.3333333333333</v>
      </c>
    </row>
    <row r="380" spans="14:28" ht="13.5">
      <c r="N380" s="3">
        <v>40101</v>
      </c>
      <c r="O380" t="s">
        <v>298</v>
      </c>
      <c r="P380" s="7"/>
      <c r="Q380" s="7">
        <v>298</v>
      </c>
      <c r="R380" s="7">
        <f t="shared" si="91"/>
        <v>131720</v>
      </c>
      <c r="S380" s="11" t="s">
        <v>136</v>
      </c>
      <c r="T380" s="7">
        <f t="shared" si="92"/>
        <v>7748.235294117647</v>
      </c>
      <c r="V380" s="3">
        <v>40284</v>
      </c>
      <c r="W380" t="s">
        <v>429</v>
      </c>
      <c r="X380" s="7"/>
      <c r="Y380" s="7">
        <v>105</v>
      </c>
      <c r="Z380" s="6">
        <f t="shared" si="93"/>
        <v>26450</v>
      </c>
      <c r="AA380" s="11" t="s">
        <v>10</v>
      </c>
      <c r="AB380" s="7">
        <f t="shared" si="94"/>
        <v>1763.3333333333333</v>
      </c>
    </row>
    <row r="381" spans="14:28" ht="13.5">
      <c r="N381" s="3">
        <v>40101</v>
      </c>
      <c r="O381" t="s">
        <v>299</v>
      </c>
      <c r="P381" s="7"/>
      <c r="Q381" s="7">
        <v>470</v>
      </c>
      <c r="R381" s="7">
        <f t="shared" si="91"/>
        <v>131250</v>
      </c>
      <c r="S381" s="11" t="s">
        <v>136</v>
      </c>
      <c r="T381" s="7">
        <f t="shared" si="92"/>
        <v>7720.588235294118</v>
      </c>
      <c r="V381" s="3">
        <v>40286</v>
      </c>
      <c r="W381" t="s">
        <v>688</v>
      </c>
      <c r="X381" s="7"/>
      <c r="Y381" s="7">
        <v>12000</v>
      </c>
      <c r="Z381" s="6">
        <f t="shared" si="93"/>
        <v>14450</v>
      </c>
      <c r="AA381" s="11" t="s">
        <v>10</v>
      </c>
      <c r="AB381" s="7">
        <f t="shared" si="94"/>
        <v>1111.5384615384614</v>
      </c>
    </row>
    <row r="382" spans="14:28" ht="13.5">
      <c r="N382" s="3">
        <v>40101</v>
      </c>
      <c r="O382" t="s">
        <v>300</v>
      </c>
      <c r="P382" s="7"/>
      <c r="Q382" s="7">
        <v>208</v>
      </c>
      <c r="R382" s="7">
        <f t="shared" si="91"/>
        <v>131042</v>
      </c>
      <c r="S382" s="11" t="s">
        <v>136</v>
      </c>
      <c r="T382" s="7">
        <f t="shared" si="92"/>
        <v>7708.35294117647</v>
      </c>
      <c r="V382" s="3">
        <v>40286</v>
      </c>
      <c r="W382" t="s">
        <v>689</v>
      </c>
      <c r="X382" s="7"/>
      <c r="Y382" s="7">
        <v>1000</v>
      </c>
      <c r="Z382" s="6">
        <f t="shared" si="93"/>
        <v>13450</v>
      </c>
      <c r="AA382" s="11" t="s">
        <v>10</v>
      </c>
      <c r="AB382" s="7">
        <f t="shared" si="94"/>
        <v>1034.6153846153845</v>
      </c>
    </row>
    <row r="383" spans="14:28" ht="13.5">
      <c r="N383" s="3">
        <v>40101</v>
      </c>
      <c r="O383" t="s">
        <v>301</v>
      </c>
      <c r="P383" s="7"/>
      <c r="Q383" s="7">
        <v>336</v>
      </c>
      <c r="R383" s="7">
        <f t="shared" si="91"/>
        <v>130706</v>
      </c>
      <c r="S383" s="11" t="s">
        <v>136</v>
      </c>
      <c r="T383" s="7">
        <f t="shared" si="92"/>
        <v>7688.588235294118</v>
      </c>
      <c r="V383" s="3">
        <v>40286</v>
      </c>
      <c r="W383" t="s">
        <v>690</v>
      </c>
      <c r="X383" s="7"/>
      <c r="Y383" s="7">
        <v>980</v>
      </c>
      <c r="Z383" s="6">
        <f t="shared" si="93"/>
        <v>12470</v>
      </c>
      <c r="AA383" s="11" t="s">
        <v>10</v>
      </c>
      <c r="AB383" s="7">
        <f t="shared" si="94"/>
        <v>959.2307692307693</v>
      </c>
    </row>
    <row r="384" spans="14:28" ht="13.5">
      <c r="N384" s="3">
        <v>40101</v>
      </c>
      <c r="O384" t="s">
        <v>302</v>
      </c>
      <c r="P384" s="7"/>
      <c r="Q384" s="7">
        <v>105</v>
      </c>
      <c r="R384" s="7">
        <f t="shared" si="91"/>
        <v>130601</v>
      </c>
      <c r="S384" s="11" t="s">
        <v>136</v>
      </c>
      <c r="T384" s="7">
        <f t="shared" si="92"/>
        <v>7682.411764705882</v>
      </c>
      <c r="V384" s="3">
        <v>40286</v>
      </c>
      <c r="W384" t="s">
        <v>691</v>
      </c>
      <c r="X384" s="7"/>
      <c r="Y384" s="7">
        <v>628</v>
      </c>
      <c r="Z384" s="6">
        <f t="shared" si="93"/>
        <v>11842</v>
      </c>
      <c r="AA384" s="11" t="s">
        <v>10</v>
      </c>
      <c r="AB384" s="7">
        <f t="shared" si="94"/>
        <v>910.9230769230769</v>
      </c>
    </row>
    <row r="385" spans="14:28" ht="13.5">
      <c r="N385" s="3">
        <v>40101</v>
      </c>
      <c r="O385" t="s">
        <v>303</v>
      </c>
      <c r="P385" s="7"/>
      <c r="Q385" s="7">
        <v>250</v>
      </c>
      <c r="R385" s="7">
        <f t="shared" si="91"/>
        <v>130351</v>
      </c>
      <c r="S385" s="11" t="s">
        <v>136</v>
      </c>
      <c r="T385" s="7">
        <f t="shared" si="92"/>
        <v>7667.705882352941</v>
      </c>
      <c r="V385" s="3">
        <v>40286</v>
      </c>
      <c r="W385" t="s">
        <v>692</v>
      </c>
      <c r="X385" s="7"/>
      <c r="Y385" s="7">
        <v>477</v>
      </c>
      <c r="Z385" s="6">
        <f t="shared" si="93"/>
        <v>11365</v>
      </c>
      <c r="AA385" s="11" t="s">
        <v>10</v>
      </c>
      <c r="AB385" s="7">
        <f t="shared" si="94"/>
        <v>874.2307692307693</v>
      </c>
    </row>
    <row r="386" spans="14:28" ht="13.5">
      <c r="N386" s="3">
        <v>40101</v>
      </c>
      <c r="O386" t="s">
        <v>304</v>
      </c>
      <c r="P386" s="7"/>
      <c r="Q386" s="7">
        <v>158</v>
      </c>
      <c r="R386" s="7">
        <f>+R385+P386-Q386</f>
        <v>130193</v>
      </c>
      <c r="S386" s="11" t="s">
        <v>136</v>
      </c>
      <c r="T386" s="7">
        <f>+R386/(40118-N386)</f>
        <v>7658.411764705882</v>
      </c>
      <c r="V386" s="3">
        <v>40286</v>
      </c>
      <c r="W386" t="s">
        <v>193</v>
      </c>
      <c r="X386" s="7"/>
      <c r="Y386" s="7">
        <v>137</v>
      </c>
      <c r="Z386" s="6">
        <f t="shared" si="93"/>
        <v>11228</v>
      </c>
      <c r="AA386" s="11" t="s">
        <v>10</v>
      </c>
      <c r="AB386" s="7">
        <f t="shared" si="94"/>
        <v>863.6923076923077</v>
      </c>
    </row>
    <row r="387" spans="14:28" ht="13.5">
      <c r="N387" s="3">
        <v>40101</v>
      </c>
      <c r="O387" t="s">
        <v>305</v>
      </c>
      <c r="P387" s="7"/>
      <c r="Q387" s="7">
        <v>105</v>
      </c>
      <c r="R387" s="7">
        <f>+R386+P387-Q387</f>
        <v>130088</v>
      </c>
      <c r="S387" s="11" t="s">
        <v>136</v>
      </c>
      <c r="T387" s="7">
        <f>+R387/(40118-N387)</f>
        <v>7652.235294117647</v>
      </c>
      <c r="V387" s="3">
        <v>40286</v>
      </c>
      <c r="W387" t="s">
        <v>217</v>
      </c>
      <c r="X387" s="7"/>
      <c r="Y387" s="7">
        <v>2845</v>
      </c>
      <c r="Z387" s="6">
        <f t="shared" si="93"/>
        <v>8383</v>
      </c>
      <c r="AA387" s="11" t="s">
        <v>10</v>
      </c>
      <c r="AB387" s="7">
        <f t="shared" si="94"/>
        <v>644.8461538461538</v>
      </c>
    </row>
    <row r="388" spans="14:28" ht="13.5">
      <c r="N388" s="3">
        <v>40101</v>
      </c>
      <c r="O388" t="s">
        <v>306</v>
      </c>
      <c r="P388" s="7"/>
      <c r="Q388" s="7">
        <v>140</v>
      </c>
      <c r="R388" s="7">
        <f>+R387+P388-Q388</f>
        <v>129948</v>
      </c>
      <c r="S388" s="11" t="s">
        <v>136</v>
      </c>
      <c r="T388" s="7">
        <f>+R388/(40118-N388)</f>
        <v>7644</v>
      </c>
      <c r="V388" s="3">
        <v>40287</v>
      </c>
      <c r="W388" t="s">
        <v>369</v>
      </c>
      <c r="X388" s="7"/>
      <c r="Y388" s="7">
        <v>996</v>
      </c>
      <c r="Z388" s="6">
        <f t="shared" si="93"/>
        <v>7387</v>
      </c>
      <c r="AA388" s="11" t="s">
        <v>10</v>
      </c>
      <c r="AB388" s="7">
        <f t="shared" si="94"/>
        <v>615.5833333333334</v>
      </c>
    </row>
    <row r="389" spans="14:28" ht="13.5">
      <c r="N389" s="3">
        <v>40101</v>
      </c>
      <c r="O389" t="s">
        <v>307</v>
      </c>
      <c r="P389" s="7"/>
      <c r="Q389" s="7">
        <v>473</v>
      </c>
      <c r="R389" s="7">
        <f>+R388+P389-Q389</f>
        <v>129475</v>
      </c>
      <c r="S389" s="11" t="s">
        <v>136</v>
      </c>
      <c r="T389" s="7">
        <f>+R389/(40118-N389)</f>
        <v>7616.176470588235</v>
      </c>
      <c r="V389" s="3">
        <v>40287</v>
      </c>
      <c r="W389" t="s">
        <v>356</v>
      </c>
      <c r="X389" s="7"/>
      <c r="Y389" s="7">
        <v>150</v>
      </c>
      <c r="Z389" s="6">
        <f t="shared" si="93"/>
        <v>7237</v>
      </c>
      <c r="AA389" s="11" t="s">
        <v>10</v>
      </c>
      <c r="AB389" s="7">
        <f t="shared" si="94"/>
        <v>603.0833333333334</v>
      </c>
    </row>
    <row r="390" spans="14:28" ht="13.5">
      <c r="N390" s="3">
        <v>40101</v>
      </c>
      <c r="O390" t="s">
        <v>308</v>
      </c>
      <c r="P390" s="7"/>
      <c r="Q390" s="7">
        <f>300+882+8163</f>
        <v>9345</v>
      </c>
      <c r="R390" s="7">
        <f aca="true" t="shared" si="95" ref="R390:R412">+R389+P390-Q390</f>
        <v>120130</v>
      </c>
      <c r="S390" s="11" t="s">
        <v>136</v>
      </c>
      <c r="T390" s="7">
        <f aca="true" t="shared" si="96" ref="T390:T436">+R390/(40118-N390)</f>
        <v>7066.470588235294</v>
      </c>
      <c r="V390" s="3">
        <v>40287</v>
      </c>
      <c r="W390" t="s">
        <v>705</v>
      </c>
      <c r="X390" s="7"/>
      <c r="Y390" s="7">
        <v>105</v>
      </c>
      <c r="Z390" s="6">
        <f t="shared" si="93"/>
        <v>7132</v>
      </c>
      <c r="AA390" s="11" t="s">
        <v>10</v>
      </c>
      <c r="AB390" s="7">
        <f t="shared" si="94"/>
        <v>594.3333333333334</v>
      </c>
    </row>
    <row r="391" spans="14:28" ht="13.5">
      <c r="N391" s="3">
        <v>40101</v>
      </c>
      <c r="O391" t="s">
        <v>309</v>
      </c>
      <c r="P391" s="7"/>
      <c r="Q391" s="7">
        <v>2451</v>
      </c>
      <c r="R391" s="7">
        <f t="shared" si="95"/>
        <v>117679</v>
      </c>
      <c r="S391" s="11" t="s">
        <v>136</v>
      </c>
      <c r="T391" s="7">
        <f t="shared" si="96"/>
        <v>6922.294117647059</v>
      </c>
      <c r="V391" s="3">
        <v>40287</v>
      </c>
      <c r="W391" t="s">
        <v>686</v>
      </c>
      <c r="X391" s="7"/>
      <c r="Y391" s="7">
        <v>82</v>
      </c>
      <c r="Z391" s="6">
        <f t="shared" si="93"/>
        <v>7050</v>
      </c>
      <c r="AA391" s="11" t="s">
        <v>10</v>
      </c>
      <c r="AB391" s="7">
        <f t="shared" si="94"/>
        <v>587.5</v>
      </c>
    </row>
    <row r="392" spans="14:28" ht="13.5">
      <c r="N392" s="3">
        <v>40101</v>
      </c>
      <c r="O392" t="s">
        <v>25</v>
      </c>
      <c r="P392" s="7"/>
      <c r="Q392" s="7">
        <f>7171+7658</f>
        <v>14829</v>
      </c>
      <c r="R392" s="7">
        <f t="shared" si="95"/>
        <v>102850</v>
      </c>
      <c r="S392" s="11" t="s">
        <v>136</v>
      </c>
      <c r="T392" s="7">
        <f t="shared" si="96"/>
        <v>6050</v>
      </c>
      <c r="V392" s="3">
        <v>40287</v>
      </c>
      <c r="W392" t="s">
        <v>706</v>
      </c>
      <c r="X392" s="7"/>
      <c r="Y392" s="7">
        <v>370</v>
      </c>
      <c r="Z392" s="6">
        <f t="shared" si="93"/>
        <v>6680</v>
      </c>
      <c r="AA392" s="11" t="s">
        <v>10</v>
      </c>
      <c r="AB392" s="7">
        <f t="shared" si="94"/>
        <v>556.6666666666666</v>
      </c>
    </row>
    <row r="393" spans="14:28" ht="13.5">
      <c r="N393" s="3">
        <v>40101</v>
      </c>
      <c r="O393" t="s">
        <v>310</v>
      </c>
      <c r="P393" s="7"/>
      <c r="Q393" s="7">
        <v>7630</v>
      </c>
      <c r="R393" s="7">
        <f t="shared" si="95"/>
        <v>95220</v>
      </c>
      <c r="S393" s="11" t="s">
        <v>136</v>
      </c>
      <c r="T393" s="7">
        <f t="shared" si="96"/>
        <v>5601.176470588235</v>
      </c>
      <c r="V393" s="3">
        <v>40287</v>
      </c>
      <c r="W393" t="s">
        <v>710</v>
      </c>
      <c r="X393" s="7"/>
      <c r="Y393" s="7">
        <v>-555</v>
      </c>
      <c r="Z393" s="6">
        <f t="shared" si="93"/>
        <v>7235</v>
      </c>
      <c r="AA393" s="11" t="s">
        <v>10</v>
      </c>
      <c r="AB393" s="7">
        <f t="shared" si="94"/>
        <v>602.9166666666666</v>
      </c>
    </row>
    <row r="394" spans="14:28" ht="13.5">
      <c r="N394" s="3">
        <v>40101</v>
      </c>
      <c r="O394" t="s">
        <v>24</v>
      </c>
      <c r="P394" s="7"/>
      <c r="Q394" s="7">
        <v>4281</v>
      </c>
      <c r="R394" s="7">
        <f t="shared" si="95"/>
        <v>90939</v>
      </c>
      <c r="S394" s="11" t="s">
        <v>136</v>
      </c>
      <c r="T394" s="7">
        <f t="shared" si="96"/>
        <v>5349.35294117647</v>
      </c>
      <c r="V394" s="3">
        <v>40289</v>
      </c>
      <c r="W394" t="s">
        <v>711</v>
      </c>
      <c r="X394" s="7"/>
      <c r="Y394" s="7">
        <v>700</v>
      </c>
      <c r="Z394" s="6">
        <f>+Z393+X394-Y394</f>
        <v>6535</v>
      </c>
      <c r="AA394" s="11" t="s">
        <v>10</v>
      </c>
      <c r="AB394" s="7">
        <f>+Z394/(40299-V394)</f>
        <v>653.5</v>
      </c>
    </row>
    <row r="395" spans="14:28" ht="13.5">
      <c r="N395" s="3">
        <v>40101</v>
      </c>
      <c r="O395" t="s">
        <v>27</v>
      </c>
      <c r="P395" s="7"/>
      <c r="Q395" s="7">
        <v>5304</v>
      </c>
      <c r="R395" s="7">
        <f t="shared" si="95"/>
        <v>85635</v>
      </c>
      <c r="S395" s="11" t="s">
        <v>136</v>
      </c>
      <c r="T395" s="7">
        <f t="shared" si="96"/>
        <v>5037.35294117647</v>
      </c>
      <c r="V395" s="3">
        <v>40289</v>
      </c>
      <c r="W395" t="s">
        <v>712</v>
      </c>
      <c r="X395" s="7"/>
      <c r="Y395" s="7">
        <f>105*2</f>
        <v>210</v>
      </c>
      <c r="Z395" s="6">
        <f>+Z394+X395-Y395</f>
        <v>6325</v>
      </c>
      <c r="AA395" s="11" t="s">
        <v>10</v>
      </c>
      <c r="AB395" s="7">
        <f>+Z395/(40299-V395)</f>
        <v>632.5</v>
      </c>
    </row>
    <row r="396" spans="14:28" ht="13.5">
      <c r="N396" s="3">
        <v>40101</v>
      </c>
      <c r="O396" t="s">
        <v>311</v>
      </c>
      <c r="P396" s="7"/>
      <c r="Q396" s="7">
        <v>360</v>
      </c>
      <c r="R396" s="7">
        <f t="shared" si="95"/>
        <v>85275</v>
      </c>
      <c r="S396" s="11" t="s">
        <v>136</v>
      </c>
      <c r="T396" s="7">
        <f t="shared" si="96"/>
        <v>5016.176470588235</v>
      </c>
      <c r="V396" s="3">
        <v>40289</v>
      </c>
      <c r="W396" t="s">
        <v>713</v>
      </c>
      <c r="X396" s="7"/>
      <c r="Y396" s="7">
        <v>105</v>
      </c>
      <c r="Z396" s="6">
        <f aca="true" t="shared" si="97" ref="Z396:Z435">+Z395+X396-Y396</f>
        <v>6220</v>
      </c>
      <c r="AA396" s="11" t="s">
        <v>10</v>
      </c>
      <c r="AB396" s="7">
        <f aca="true" t="shared" si="98" ref="AB396:AB435">+Z396/(40299-V396)</f>
        <v>622</v>
      </c>
    </row>
    <row r="397" spans="14:28" ht="13.5">
      <c r="N397" s="3">
        <v>40101</v>
      </c>
      <c r="O397" t="s">
        <v>50</v>
      </c>
      <c r="P397" s="7"/>
      <c r="Q397" s="7">
        <f>477-360</f>
        <v>117</v>
      </c>
      <c r="R397" s="7">
        <f t="shared" si="95"/>
        <v>85158</v>
      </c>
      <c r="S397" s="11" t="s">
        <v>136</v>
      </c>
      <c r="T397" s="7">
        <f t="shared" si="96"/>
        <v>5009.294117647059</v>
      </c>
      <c r="V397" s="3">
        <v>40289</v>
      </c>
      <c r="W397" t="s">
        <v>488</v>
      </c>
      <c r="X397" s="7"/>
      <c r="Y397" s="7">
        <v>105</v>
      </c>
      <c r="Z397" s="6">
        <f t="shared" si="97"/>
        <v>6115</v>
      </c>
      <c r="AA397" s="11" t="s">
        <v>10</v>
      </c>
      <c r="AB397" s="7">
        <f t="shared" si="98"/>
        <v>611.5</v>
      </c>
    </row>
    <row r="398" spans="14:28" ht="13.5">
      <c r="N398" s="3">
        <v>40102</v>
      </c>
      <c r="O398" t="s">
        <v>120</v>
      </c>
      <c r="P398" s="7"/>
      <c r="Q398" s="7">
        <f>543+543</f>
        <v>1086</v>
      </c>
      <c r="R398" s="7">
        <f t="shared" si="95"/>
        <v>84072</v>
      </c>
      <c r="S398" s="11" t="s">
        <v>136</v>
      </c>
      <c r="T398" s="7">
        <f t="shared" si="96"/>
        <v>5254.5</v>
      </c>
      <c r="V398" s="3">
        <v>40289</v>
      </c>
      <c r="W398" t="s">
        <v>714</v>
      </c>
      <c r="X398" s="7"/>
      <c r="Y398" s="7">
        <f>105*2</f>
        <v>210</v>
      </c>
      <c r="Z398" s="6">
        <f t="shared" si="97"/>
        <v>5905</v>
      </c>
      <c r="AA398" s="11" t="s">
        <v>10</v>
      </c>
      <c r="AB398" s="7">
        <f t="shared" si="98"/>
        <v>590.5</v>
      </c>
    </row>
    <row r="399" spans="14:28" ht="13.5">
      <c r="N399" s="3">
        <v>40102</v>
      </c>
      <c r="O399" t="s">
        <v>312</v>
      </c>
      <c r="P399" s="7"/>
      <c r="Q399" s="7">
        <v>1242</v>
      </c>
      <c r="R399" s="7">
        <f t="shared" si="95"/>
        <v>82830</v>
      </c>
      <c r="S399" s="11" t="s">
        <v>136</v>
      </c>
      <c r="T399" s="7">
        <f t="shared" si="96"/>
        <v>5176.875</v>
      </c>
      <c r="V399" s="3">
        <v>40289</v>
      </c>
      <c r="W399" t="s">
        <v>715</v>
      </c>
      <c r="X399" s="7"/>
      <c r="Y399" s="7">
        <f>105*2</f>
        <v>210</v>
      </c>
      <c r="Z399" s="6">
        <f t="shared" si="97"/>
        <v>5695</v>
      </c>
      <c r="AA399" s="11" t="s">
        <v>10</v>
      </c>
      <c r="AB399" s="7">
        <f t="shared" si="98"/>
        <v>569.5</v>
      </c>
    </row>
    <row r="400" spans="14:28" ht="13.5">
      <c r="N400" s="3">
        <v>40102</v>
      </c>
      <c r="O400" t="s">
        <v>313</v>
      </c>
      <c r="P400" s="7"/>
      <c r="Q400" s="7">
        <v>525</v>
      </c>
      <c r="R400" s="7">
        <f t="shared" si="95"/>
        <v>82305</v>
      </c>
      <c r="S400" s="11" t="s">
        <v>136</v>
      </c>
      <c r="T400" s="7">
        <f t="shared" si="96"/>
        <v>5144.0625</v>
      </c>
      <c r="V400" s="3">
        <v>40289</v>
      </c>
      <c r="W400" t="s">
        <v>716</v>
      </c>
      <c r="X400" s="7"/>
      <c r="Y400" s="7">
        <f>105*2</f>
        <v>210</v>
      </c>
      <c r="Z400" s="6">
        <f t="shared" si="97"/>
        <v>5485</v>
      </c>
      <c r="AA400" s="11" t="s">
        <v>10</v>
      </c>
      <c r="AB400" s="7">
        <f t="shared" si="98"/>
        <v>548.5</v>
      </c>
    </row>
    <row r="401" spans="14:28" ht="13.5">
      <c r="N401" s="3">
        <v>40102</v>
      </c>
      <c r="O401" t="s">
        <v>314</v>
      </c>
      <c r="P401" s="7"/>
      <c r="Q401" s="7">
        <v>276</v>
      </c>
      <c r="R401" s="7">
        <f t="shared" si="95"/>
        <v>82029</v>
      </c>
      <c r="S401" s="11" t="s">
        <v>136</v>
      </c>
      <c r="T401" s="7">
        <f t="shared" si="96"/>
        <v>5126.8125</v>
      </c>
      <c r="V401" s="3">
        <v>40289</v>
      </c>
      <c r="W401" t="s">
        <v>717</v>
      </c>
      <c r="X401" s="7"/>
      <c r="Y401" s="7">
        <v>105</v>
      </c>
      <c r="Z401" s="6">
        <f t="shared" si="97"/>
        <v>5380</v>
      </c>
      <c r="AA401" s="11" t="s">
        <v>10</v>
      </c>
      <c r="AB401" s="7">
        <f t="shared" si="98"/>
        <v>538</v>
      </c>
    </row>
    <row r="402" spans="14:28" ht="13.5">
      <c r="N402" s="3">
        <v>40104</v>
      </c>
      <c r="O402" t="s">
        <v>315</v>
      </c>
      <c r="P402" s="7"/>
      <c r="Q402" s="7">
        <v>35000</v>
      </c>
      <c r="R402" s="7">
        <f t="shared" si="95"/>
        <v>47029</v>
      </c>
      <c r="S402" s="11" t="s">
        <v>136</v>
      </c>
      <c r="T402" s="7">
        <f t="shared" si="96"/>
        <v>3359.214285714286</v>
      </c>
      <c r="V402" s="3">
        <v>40289</v>
      </c>
      <c r="W402" t="s">
        <v>718</v>
      </c>
      <c r="X402" s="7"/>
      <c r="Y402" s="7">
        <f>93*2</f>
        <v>186</v>
      </c>
      <c r="Z402" s="6">
        <f t="shared" si="97"/>
        <v>5194</v>
      </c>
      <c r="AA402" s="11" t="s">
        <v>10</v>
      </c>
      <c r="AB402" s="7">
        <f t="shared" si="98"/>
        <v>519.4</v>
      </c>
    </row>
    <row r="403" spans="14:28" ht="13.5">
      <c r="N403" s="3">
        <v>40104</v>
      </c>
      <c r="O403" t="s">
        <v>316</v>
      </c>
      <c r="P403" s="7"/>
      <c r="Q403" s="7">
        <v>635</v>
      </c>
      <c r="R403" s="7">
        <f t="shared" si="95"/>
        <v>46394</v>
      </c>
      <c r="S403" s="11" t="s">
        <v>136</v>
      </c>
      <c r="T403" s="7">
        <f t="shared" si="96"/>
        <v>3313.8571428571427</v>
      </c>
      <c r="V403" s="3">
        <v>40289</v>
      </c>
      <c r="W403" t="s">
        <v>719</v>
      </c>
      <c r="X403" s="7"/>
      <c r="Y403" s="7">
        <v>105</v>
      </c>
      <c r="Z403" s="6">
        <f t="shared" si="97"/>
        <v>5089</v>
      </c>
      <c r="AA403" s="11" t="s">
        <v>10</v>
      </c>
      <c r="AB403" s="7">
        <f t="shared" si="98"/>
        <v>508.9</v>
      </c>
    </row>
    <row r="404" spans="14:28" ht="13.5">
      <c r="N404" s="3">
        <v>40104</v>
      </c>
      <c r="O404" t="s">
        <v>317</v>
      </c>
      <c r="P404" s="7"/>
      <c r="Q404" s="7">
        <v>530</v>
      </c>
      <c r="R404" s="7">
        <f t="shared" si="95"/>
        <v>45864</v>
      </c>
      <c r="S404" s="11" t="s">
        <v>136</v>
      </c>
      <c r="T404" s="7">
        <f t="shared" si="96"/>
        <v>3276</v>
      </c>
      <c r="V404" s="3">
        <v>40289</v>
      </c>
      <c r="W404" t="s">
        <v>720</v>
      </c>
      <c r="X404" s="7"/>
      <c r="Y404" s="7">
        <v>105</v>
      </c>
      <c r="Z404" s="6">
        <f t="shared" si="97"/>
        <v>4984</v>
      </c>
      <c r="AA404" s="11" t="s">
        <v>10</v>
      </c>
      <c r="AB404" s="7">
        <f t="shared" si="98"/>
        <v>498.4</v>
      </c>
    </row>
    <row r="405" spans="14:28" ht="13.5">
      <c r="N405" s="3">
        <v>40104</v>
      </c>
      <c r="O405" t="s">
        <v>318</v>
      </c>
      <c r="Q405" s="7">
        <f>300+210</f>
        <v>510</v>
      </c>
      <c r="R405" s="7">
        <f t="shared" si="95"/>
        <v>45354</v>
      </c>
      <c r="S405" s="11" t="s">
        <v>136</v>
      </c>
      <c r="T405" s="7">
        <f t="shared" si="96"/>
        <v>3239.5714285714284</v>
      </c>
      <c r="V405" s="3">
        <v>40289</v>
      </c>
      <c r="W405" t="s">
        <v>721</v>
      </c>
      <c r="X405" s="7"/>
      <c r="Y405" s="7">
        <v>105</v>
      </c>
      <c r="Z405" s="6">
        <f t="shared" si="97"/>
        <v>4879</v>
      </c>
      <c r="AA405" s="11" t="s">
        <v>10</v>
      </c>
      <c r="AB405" s="7">
        <f t="shared" si="98"/>
        <v>487.9</v>
      </c>
    </row>
    <row r="406" spans="14:28" ht="13.5">
      <c r="N406" s="3">
        <v>40104</v>
      </c>
      <c r="O406" t="s">
        <v>42</v>
      </c>
      <c r="Q406" s="7">
        <v>2300</v>
      </c>
      <c r="R406" s="7">
        <f t="shared" si="95"/>
        <v>43054</v>
      </c>
      <c r="S406" s="11" t="s">
        <v>136</v>
      </c>
      <c r="T406" s="7">
        <f t="shared" si="96"/>
        <v>3075.285714285714</v>
      </c>
      <c r="V406" s="3">
        <v>40289</v>
      </c>
      <c r="W406" t="s">
        <v>722</v>
      </c>
      <c r="X406" s="7"/>
      <c r="Y406" s="7">
        <v>105</v>
      </c>
      <c r="Z406" s="6">
        <f t="shared" si="97"/>
        <v>4774</v>
      </c>
      <c r="AA406" s="11" t="s">
        <v>10</v>
      </c>
      <c r="AB406" s="7">
        <f t="shared" si="98"/>
        <v>477.4</v>
      </c>
    </row>
    <row r="407" spans="14:28" ht="13.5">
      <c r="N407" s="3">
        <v>40104</v>
      </c>
      <c r="O407" t="s">
        <v>50</v>
      </c>
      <c r="Q407" s="7">
        <f>5379-2300+1075-1000-100</f>
        <v>3054</v>
      </c>
      <c r="R407" s="7">
        <f t="shared" si="95"/>
        <v>40000</v>
      </c>
      <c r="S407" s="11" t="s">
        <v>136</v>
      </c>
      <c r="T407" s="7">
        <f t="shared" si="96"/>
        <v>2857.1428571428573</v>
      </c>
      <c r="V407" s="3">
        <v>40289</v>
      </c>
      <c r="W407" t="s">
        <v>723</v>
      </c>
      <c r="X407" s="7"/>
      <c r="Y407" s="7">
        <f>105-50</f>
        <v>55</v>
      </c>
      <c r="Z407" s="6">
        <f t="shared" si="97"/>
        <v>4719</v>
      </c>
      <c r="AA407" s="11" t="s">
        <v>10</v>
      </c>
      <c r="AB407" s="7">
        <f t="shared" si="98"/>
        <v>471.9</v>
      </c>
    </row>
    <row r="408" spans="14:28" ht="13.5">
      <c r="N408" s="3">
        <v>40104</v>
      </c>
      <c r="O408" t="s">
        <v>120</v>
      </c>
      <c r="P408" s="7"/>
      <c r="Q408" s="7">
        <f>543+543</f>
        <v>1086</v>
      </c>
      <c r="R408" s="7">
        <f t="shared" si="95"/>
        <v>38914</v>
      </c>
      <c r="S408" s="11" t="s">
        <v>136</v>
      </c>
      <c r="T408" s="7">
        <f t="shared" si="96"/>
        <v>2779.5714285714284</v>
      </c>
      <c r="V408" s="3">
        <v>40289</v>
      </c>
      <c r="W408" t="s">
        <v>724</v>
      </c>
      <c r="X408" s="7"/>
      <c r="Y408" s="7">
        <v>105</v>
      </c>
      <c r="Z408" s="6">
        <f t="shared" si="97"/>
        <v>4614</v>
      </c>
      <c r="AA408" s="11" t="s">
        <v>10</v>
      </c>
      <c r="AB408" s="7">
        <f t="shared" si="98"/>
        <v>461.4</v>
      </c>
    </row>
    <row r="409" spans="14:28" ht="13.5">
      <c r="N409" s="3">
        <v>40105</v>
      </c>
      <c r="O409" t="s">
        <v>319</v>
      </c>
      <c r="Q409" s="7">
        <f>315+210</f>
        <v>525</v>
      </c>
      <c r="R409" s="7">
        <f t="shared" si="95"/>
        <v>38389</v>
      </c>
      <c r="S409" s="11" t="s">
        <v>136</v>
      </c>
      <c r="T409" s="7">
        <f t="shared" si="96"/>
        <v>2953</v>
      </c>
      <c r="V409" s="3">
        <v>40291</v>
      </c>
      <c r="W409" t="s">
        <v>461</v>
      </c>
      <c r="X409" s="7"/>
      <c r="Y409" s="7">
        <v>498</v>
      </c>
      <c r="Z409" s="6">
        <f t="shared" si="97"/>
        <v>4116</v>
      </c>
      <c r="AA409" s="11" t="s">
        <v>10</v>
      </c>
      <c r="AB409" s="7">
        <f t="shared" si="98"/>
        <v>514.5</v>
      </c>
    </row>
    <row r="410" spans="14:28" ht="13.5">
      <c r="N410" s="3">
        <v>40104</v>
      </c>
      <c r="O410" t="s">
        <v>320</v>
      </c>
      <c r="Q410" s="7">
        <v>4410</v>
      </c>
      <c r="R410" s="7">
        <f t="shared" si="95"/>
        <v>33979</v>
      </c>
      <c r="S410" s="11" t="s">
        <v>136</v>
      </c>
      <c r="T410" s="7">
        <f t="shared" si="96"/>
        <v>2427.0714285714284</v>
      </c>
      <c r="V410" s="3">
        <v>40291</v>
      </c>
      <c r="W410" t="s">
        <v>725</v>
      </c>
      <c r="X410" s="7"/>
      <c r="Y410" s="7">
        <v>98</v>
      </c>
      <c r="Z410" s="6">
        <f t="shared" si="97"/>
        <v>4018</v>
      </c>
      <c r="AA410" s="11" t="s">
        <v>10</v>
      </c>
      <c r="AB410" s="7">
        <f t="shared" si="98"/>
        <v>502.25</v>
      </c>
    </row>
    <row r="411" spans="14:28" ht="13.5">
      <c r="N411" s="3">
        <v>40104</v>
      </c>
      <c r="O411" t="s">
        <v>321</v>
      </c>
      <c r="Q411" s="7">
        <v>3750</v>
      </c>
      <c r="R411" s="7">
        <f t="shared" si="95"/>
        <v>30229</v>
      </c>
      <c r="S411" s="11" t="s">
        <v>136</v>
      </c>
      <c r="T411" s="7">
        <f t="shared" si="96"/>
        <v>2159.214285714286</v>
      </c>
      <c r="V411" s="3">
        <v>40291</v>
      </c>
      <c r="W411" t="s">
        <v>726</v>
      </c>
      <c r="X411" s="7"/>
      <c r="Y411" s="7">
        <v>112</v>
      </c>
      <c r="Z411" s="6">
        <f t="shared" si="97"/>
        <v>3906</v>
      </c>
      <c r="AA411" s="11" t="s">
        <v>10</v>
      </c>
      <c r="AB411" s="7">
        <f t="shared" si="98"/>
        <v>488.25</v>
      </c>
    </row>
    <row r="412" spans="14:28" ht="13.5">
      <c r="N412" s="3">
        <v>40104</v>
      </c>
      <c r="O412" t="s">
        <v>89</v>
      </c>
      <c r="Q412" s="7">
        <v>100</v>
      </c>
      <c r="R412" s="7">
        <f t="shared" si="95"/>
        <v>30129</v>
      </c>
      <c r="S412" s="11" t="s">
        <v>136</v>
      </c>
      <c r="T412" s="7">
        <f t="shared" si="96"/>
        <v>2152.0714285714284</v>
      </c>
      <c r="V412" s="3">
        <v>40294</v>
      </c>
      <c r="W412" t="s">
        <v>458</v>
      </c>
      <c r="X412" s="7">
        <v>27000</v>
      </c>
      <c r="Y412" s="7"/>
      <c r="Z412" s="6">
        <f t="shared" si="97"/>
        <v>30906</v>
      </c>
      <c r="AA412" s="11" t="s">
        <v>10</v>
      </c>
      <c r="AB412" s="7">
        <f t="shared" si="98"/>
        <v>6181.2</v>
      </c>
    </row>
    <row r="413" spans="14:28" ht="13.5">
      <c r="N413" s="3">
        <v>40106</v>
      </c>
      <c r="O413" t="s">
        <v>101</v>
      </c>
      <c r="Q413" s="7">
        <v>120</v>
      </c>
      <c r="R413" s="7">
        <f aca="true" t="shared" si="99" ref="R413:R476">+R412+P413-Q413</f>
        <v>30009</v>
      </c>
      <c r="S413" s="11" t="s">
        <v>136</v>
      </c>
      <c r="T413" s="7">
        <f t="shared" si="96"/>
        <v>2500.75</v>
      </c>
      <c r="V413" s="3">
        <v>40294</v>
      </c>
      <c r="W413" t="s">
        <v>727</v>
      </c>
      <c r="X413" s="7"/>
      <c r="Y413" s="7">
        <v>2357</v>
      </c>
      <c r="Z413" s="6">
        <f t="shared" si="97"/>
        <v>28549</v>
      </c>
      <c r="AA413" s="11" t="s">
        <v>10</v>
      </c>
      <c r="AB413" s="7">
        <f t="shared" si="98"/>
        <v>5709.8</v>
      </c>
    </row>
    <row r="414" spans="14:28" ht="13.5">
      <c r="N414" s="3">
        <v>40108</v>
      </c>
      <c r="O414" t="s">
        <v>101</v>
      </c>
      <c r="Q414" s="7">
        <v>120</v>
      </c>
      <c r="R414" s="7">
        <f t="shared" si="99"/>
        <v>29889</v>
      </c>
      <c r="S414" s="11" t="s">
        <v>136</v>
      </c>
      <c r="T414" s="7">
        <f t="shared" si="96"/>
        <v>2988.9</v>
      </c>
      <c r="V414" s="3">
        <v>40294</v>
      </c>
      <c r="W414" t="s">
        <v>728</v>
      </c>
      <c r="X414" s="7"/>
      <c r="Y414" s="7">
        <f>882+105+105</f>
        <v>1092</v>
      </c>
      <c r="Z414" s="6">
        <f t="shared" si="97"/>
        <v>27457</v>
      </c>
      <c r="AA414" s="11" t="s">
        <v>10</v>
      </c>
      <c r="AB414" s="7">
        <f t="shared" si="98"/>
        <v>5491.4</v>
      </c>
    </row>
    <row r="415" spans="14:28" ht="13.5">
      <c r="N415" s="3">
        <v>40108</v>
      </c>
      <c r="O415" t="s">
        <v>322</v>
      </c>
      <c r="Q415" s="7">
        <f>3925*2</f>
        <v>7850</v>
      </c>
      <c r="R415" s="7">
        <f t="shared" si="99"/>
        <v>22039</v>
      </c>
      <c r="S415" s="11" t="s">
        <v>136</v>
      </c>
      <c r="T415" s="7">
        <f t="shared" si="96"/>
        <v>2203.9</v>
      </c>
      <c r="V415" s="3">
        <v>40294</v>
      </c>
      <c r="W415" t="s">
        <v>709</v>
      </c>
      <c r="X415" s="7"/>
      <c r="Y415" s="7">
        <v>5000</v>
      </c>
      <c r="Z415" s="6">
        <f t="shared" si="97"/>
        <v>22457</v>
      </c>
      <c r="AA415" s="11" t="s">
        <v>10</v>
      </c>
      <c r="AB415" s="7">
        <f t="shared" si="98"/>
        <v>4491.4</v>
      </c>
    </row>
    <row r="416" spans="14:28" ht="13.5">
      <c r="N416" s="3">
        <v>40109</v>
      </c>
      <c r="O416" t="s">
        <v>120</v>
      </c>
      <c r="P416" s="7"/>
      <c r="Q416" s="7">
        <f>543+543</f>
        <v>1086</v>
      </c>
      <c r="R416" s="7">
        <f t="shared" si="99"/>
        <v>20953</v>
      </c>
      <c r="S416" s="11" t="s">
        <v>136</v>
      </c>
      <c r="T416" s="7">
        <f t="shared" si="96"/>
        <v>2328.1111111111113</v>
      </c>
      <c r="V416" s="3">
        <v>40294</v>
      </c>
      <c r="W416" t="s">
        <v>729</v>
      </c>
      <c r="X416" s="7"/>
      <c r="Y416" s="7">
        <v>1000</v>
      </c>
      <c r="Z416" s="6">
        <f t="shared" si="97"/>
        <v>21457</v>
      </c>
      <c r="AA416" s="11" t="s">
        <v>10</v>
      </c>
      <c r="AB416" s="7">
        <f t="shared" si="98"/>
        <v>4291.4</v>
      </c>
    </row>
    <row r="417" spans="14:28" ht="13.5">
      <c r="N417" s="3">
        <v>40109</v>
      </c>
      <c r="O417" t="s">
        <v>323</v>
      </c>
      <c r="Q417" s="7">
        <v>110</v>
      </c>
      <c r="R417" s="7">
        <f t="shared" si="99"/>
        <v>20843</v>
      </c>
      <c r="S417" s="11" t="s">
        <v>136</v>
      </c>
      <c r="T417" s="7">
        <f t="shared" si="96"/>
        <v>2315.8888888888887</v>
      </c>
      <c r="V417" s="3">
        <v>40294</v>
      </c>
      <c r="W417" t="s">
        <v>730</v>
      </c>
      <c r="X417" s="7"/>
      <c r="Y417" s="7">
        <v>100</v>
      </c>
      <c r="Z417" s="6">
        <f t="shared" si="97"/>
        <v>21357</v>
      </c>
      <c r="AA417" s="11" t="s">
        <v>10</v>
      </c>
      <c r="AB417" s="7">
        <f t="shared" si="98"/>
        <v>4271.4</v>
      </c>
    </row>
    <row r="418" spans="14:28" ht="13.5">
      <c r="N418" s="3">
        <v>40109</v>
      </c>
      <c r="O418" t="s">
        <v>324</v>
      </c>
      <c r="Q418" s="7">
        <f>105*4</f>
        <v>420</v>
      </c>
      <c r="R418" s="7">
        <f t="shared" si="99"/>
        <v>20423</v>
      </c>
      <c r="S418" s="11" t="s">
        <v>136</v>
      </c>
      <c r="T418" s="7">
        <f t="shared" si="96"/>
        <v>2269.222222222222</v>
      </c>
      <c r="V418" s="3">
        <v>40294</v>
      </c>
      <c r="W418" t="s">
        <v>731</v>
      </c>
      <c r="X418" s="7"/>
      <c r="Y418" s="7">
        <v>147</v>
      </c>
      <c r="Z418" s="6">
        <f t="shared" si="97"/>
        <v>21210</v>
      </c>
      <c r="AA418" s="11" t="s">
        <v>10</v>
      </c>
      <c r="AB418" s="7">
        <f t="shared" si="98"/>
        <v>4242</v>
      </c>
    </row>
    <row r="419" spans="14:28" ht="13.5">
      <c r="N419" s="3">
        <v>40109</v>
      </c>
      <c r="O419" t="s">
        <v>325</v>
      </c>
      <c r="Q419" s="7">
        <v>980</v>
      </c>
      <c r="R419" s="7">
        <f t="shared" si="99"/>
        <v>19443</v>
      </c>
      <c r="S419" s="11" t="s">
        <v>136</v>
      </c>
      <c r="T419" s="7">
        <f t="shared" si="96"/>
        <v>2160.3333333333335</v>
      </c>
      <c r="V419" s="3">
        <v>40294</v>
      </c>
      <c r="W419" t="s">
        <v>732</v>
      </c>
      <c r="X419" s="7"/>
      <c r="Y419" s="7">
        <v>378</v>
      </c>
      <c r="Z419" s="6">
        <f t="shared" si="97"/>
        <v>20832</v>
      </c>
      <c r="AA419" s="11" t="s">
        <v>10</v>
      </c>
      <c r="AB419" s="7">
        <f t="shared" si="98"/>
        <v>4166.4</v>
      </c>
    </row>
    <row r="420" spans="14:28" ht="13.5">
      <c r="N420" s="3">
        <v>40109</v>
      </c>
      <c r="O420" t="s">
        <v>326</v>
      </c>
      <c r="Q420" s="7">
        <f>1380+738</f>
        <v>2118</v>
      </c>
      <c r="R420" s="7">
        <f t="shared" si="99"/>
        <v>17325</v>
      </c>
      <c r="S420" s="11" t="s">
        <v>136</v>
      </c>
      <c r="T420" s="7">
        <f t="shared" si="96"/>
        <v>1925</v>
      </c>
      <c r="V420" s="3">
        <v>40294</v>
      </c>
      <c r="W420" t="s">
        <v>193</v>
      </c>
      <c r="X420" s="7"/>
      <c r="Y420" s="7">
        <v>137</v>
      </c>
      <c r="Z420" s="6">
        <f t="shared" si="97"/>
        <v>20695</v>
      </c>
      <c r="AA420" s="11" t="s">
        <v>10</v>
      </c>
      <c r="AB420" s="7">
        <f t="shared" si="98"/>
        <v>4139</v>
      </c>
    </row>
    <row r="421" spans="14:28" ht="13.5">
      <c r="N421" s="3">
        <v>40109</v>
      </c>
      <c r="O421" t="s">
        <v>327</v>
      </c>
      <c r="Q421" s="7">
        <v>3100</v>
      </c>
      <c r="R421" s="7">
        <f t="shared" si="99"/>
        <v>14225</v>
      </c>
      <c r="S421" s="11" t="s">
        <v>136</v>
      </c>
      <c r="T421" s="7">
        <f t="shared" si="96"/>
        <v>1580.5555555555557</v>
      </c>
      <c r="V421" s="3">
        <v>40294</v>
      </c>
      <c r="W421" t="s">
        <v>733</v>
      </c>
      <c r="X421" s="7"/>
      <c r="Y421" s="7">
        <v>195</v>
      </c>
      <c r="Z421" s="6">
        <f t="shared" si="97"/>
        <v>20500</v>
      </c>
      <c r="AA421" s="11" t="s">
        <v>10</v>
      </c>
      <c r="AB421" s="7">
        <f t="shared" si="98"/>
        <v>4100</v>
      </c>
    </row>
    <row r="422" spans="14:28" ht="13.5">
      <c r="N422" s="3">
        <v>40111</v>
      </c>
      <c r="O422" t="s">
        <v>328</v>
      </c>
      <c r="Q422" s="7">
        <v>2175</v>
      </c>
      <c r="R422" s="7">
        <f t="shared" si="99"/>
        <v>12050</v>
      </c>
      <c r="S422" s="11" t="s">
        <v>136</v>
      </c>
      <c r="T422" s="7">
        <f t="shared" si="96"/>
        <v>1721.4285714285713</v>
      </c>
      <c r="V422" s="3">
        <v>40294</v>
      </c>
      <c r="W422" t="s">
        <v>734</v>
      </c>
      <c r="X422" s="7"/>
      <c r="Y422" s="7">
        <v>138</v>
      </c>
      <c r="Z422" s="6">
        <f t="shared" si="97"/>
        <v>20362</v>
      </c>
      <c r="AA422" s="11" t="s">
        <v>10</v>
      </c>
      <c r="AB422" s="7">
        <f t="shared" si="98"/>
        <v>4072.4</v>
      </c>
    </row>
    <row r="423" spans="14:28" ht="13.5">
      <c r="N423" s="3">
        <v>40112</v>
      </c>
      <c r="O423" t="s">
        <v>120</v>
      </c>
      <c r="P423" s="7"/>
      <c r="Q423" s="7">
        <f>543+543</f>
        <v>1086</v>
      </c>
      <c r="R423" s="7">
        <f t="shared" si="99"/>
        <v>10964</v>
      </c>
      <c r="S423" s="11" t="s">
        <v>136</v>
      </c>
      <c r="T423" s="7">
        <f t="shared" si="96"/>
        <v>1827.3333333333333</v>
      </c>
      <c r="V423" s="3">
        <v>40294</v>
      </c>
      <c r="W423" t="s">
        <v>735</v>
      </c>
      <c r="X423" s="7"/>
      <c r="Y423" s="7">
        <v>168</v>
      </c>
      <c r="Z423" s="6">
        <f t="shared" si="97"/>
        <v>20194</v>
      </c>
      <c r="AA423" s="11" t="s">
        <v>10</v>
      </c>
      <c r="AB423" s="7">
        <f t="shared" si="98"/>
        <v>4038.8</v>
      </c>
    </row>
    <row r="424" spans="14:28" ht="13.5">
      <c r="N424" s="3">
        <v>40112</v>
      </c>
      <c r="O424" t="s">
        <v>329</v>
      </c>
      <c r="Q424" s="7">
        <v>248</v>
      </c>
      <c r="R424" s="7">
        <f t="shared" si="99"/>
        <v>10716</v>
      </c>
      <c r="S424" s="11" t="s">
        <v>136</v>
      </c>
      <c r="T424" s="7">
        <f t="shared" si="96"/>
        <v>1786</v>
      </c>
      <c r="V424" s="3">
        <v>40294</v>
      </c>
      <c r="W424" t="s">
        <v>736</v>
      </c>
      <c r="X424" s="7"/>
      <c r="Y424" s="7">
        <v>180</v>
      </c>
      <c r="Z424" s="6">
        <f t="shared" si="97"/>
        <v>20014</v>
      </c>
      <c r="AA424" s="11" t="s">
        <v>10</v>
      </c>
      <c r="AB424" s="7">
        <f t="shared" si="98"/>
        <v>4002.8</v>
      </c>
    </row>
    <row r="425" spans="14:28" ht="13.5">
      <c r="N425" s="3">
        <v>40112</v>
      </c>
      <c r="O425" t="s">
        <v>330</v>
      </c>
      <c r="Q425" s="7">
        <f>120*2</f>
        <v>240</v>
      </c>
      <c r="R425" s="7">
        <f t="shared" si="99"/>
        <v>10476</v>
      </c>
      <c r="S425" s="11" t="s">
        <v>136</v>
      </c>
      <c r="T425" s="7">
        <f t="shared" si="96"/>
        <v>1746</v>
      </c>
      <c r="V425" s="3">
        <v>40294</v>
      </c>
      <c r="W425" t="s">
        <v>737</v>
      </c>
      <c r="X425" s="7"/>
      <c r="Y425" s="7">
        <v>100</v>
      </c>
      <c r="Z425" s="6">
        <f t="shared" si="97"/>
        <v>19914</v>
      </c>
      <c r="AA425" s="11" t="s">
        <v>10</v>
      </c>
      <c r="AB425" s="7">
        <f t="shared" si="98"/>
        <v>3982.8</v>
      </c>
    </row>
    <row r="426" spans="14:28" ht="13.5">
      <c r="N426" s="3">
        <v>40112</v>
      </c>
      <c r="O426" t="s">
        <v>331</v>
      </c>
      <c r="Q426" s="7">
        <v>100</v>
      </c>
      <c r="R426" s="7">
        <f t="shared" si="99"/>
        <v>10376</v>
      </c>
      <c r="S426" s="11" t="s">
        <v>136</v>
      </c>
      <c r="T426" s="7">
        <f t="shared" si="96"/>
        <v>1729.3333333333333</v>
      </c>
      <c r="V426" s="3">
        <v>40294</v>
      </c>
      <c r="W426" t="s">
        <v>692</v>
      </c>
      <c r="X426" s="7"/>
      <c r="Y426" s="7">
        <v>630</v>
      </c>
      <c r="Z426" s="6">
        <f t="shared" si="97"/>
        <v>19284</v>
      </c>
      <c r="AA426" s="11" t="s">
        <v>10</v>
      </c>
      <c r="AB426" s="7">
        <f t="shared" si="98"/>
        <v>3856.8</v>
      </c>
    </row>
    <row r="427" spans="14:28" ht="13.5">
      <c r="N427" s="3">
        <v>40112</v>
      </c>
      <c r="O427" t="s">
        <v>332</v>
      </c>
      <c r="Q427" s="7">
        <f>420+860-101</f>
        <v>1179</v>
      </c>
      <c r="R427" s="7">
        <f t="shared" si="99"/>
        <v>9197</v>
      </c>
      <c r="S427" s="11" t="s">
        <v>136</v>
      </c>
      <c r="T427" s="7">
        <f t="shared" si="96"/>
        <v>1532.8333333333333</v>
      </c>
      <c r="V427" s="3">
        <v>40294</v>
      </c>
      <c r="W427" t="s">
        <v>738</v>
      </c>
      <c r="X427" s="7"/>
      <c r="Y427" s="7">
        <v>140</v>
      </c>
      <c r="Z427" s="6">
        <f t="shared" si="97"/>
        <v>19144</v>
      </c>
      <c r="AA427" s="11" t="s">
        <v>10</v>
      </c>
      <c r="AB427" s="7">
        <f t="shared" si="98"/>
        <v>3828.8</v>
      </c>
    </row>
    <row r="428" spans="14:28" ht="13.5">
      <c r="N428" s="3">
        <v>40112</v>
      </c>
      <c r="O428" t="s">
        <v>325</v>
      </c>
      <c r="Q428" s="7">
        <v>890</v>
      </c>
      <c r="R428" s="7">
        <f t="shared" si="99"/>
        <v>8307</v>
      </c>
      <c r="S428" s="11" t="s">
        <v>136</v>
      </c>
      <c r="T428" s="7">
        <f t="shared" si="96"/>
        <v>1384.5</v>
      </c>
      <c r="V428" s="3">
        <v>40294</v>
      </c>
      <c r="W428" t="s">
        <v>739</v>
      </c>
      <c r="X428" s="7"/>
      <c r="Y428" s="7">
        <v>408</v>
      </c>
      <c r="Z428" s="6">
        <f t="shared" si="97"/>
        <v>18736</v>
      </c>
      <c r="AA428" s="6" t="s">
        <v>426</v>
      </c>
      <c r="AB428" s="7">
        <f t="shared" si="98"/>
        <v>3747.2</v>
      </c>
    </row>
    <row r="429" spans="14:28" ht="13.5">
      <c r="N429" s="3">
        <v>40112</v>
      </c>
      <c r="O429" t="s">
        <v>50</v>
      </c>
      <c r="Q429" s="7">
        <f>530+99</f>
        <v>629</v>
      </c>
      <c r="R429" s="7">
        <f t="shared" si="99"/>
        <v>7678</v>
      </c>
      <c r="S429" s="11" t="s">
        <v>136</v>
      </c>
      <c r="T429" s="7">
        <f t="shared" si="96"/>
        <v>1279.6666666666667</v>
      </c>
      <c r="V429" s="3">
        <v>40294</v>
      </c>
      <c r="W429" t="s">
        <v>50</v>
      </c>
      <c r="X429" s="7"/>
      <c r="Y429" s="7">
        <v>1056</v>
      </c>
      <c r="Z429" s="6">
        <f t="shared" si="97"/>
        <v>17680</v>
      </c>
      <c r="AA429" s="30">
        <v>0.08677074774034511</v>
      </c>
      <c r="AB429" s="7">
        <f t="shared" si="98"/>
        <v>3536</v>
      </c>
    </row>
    <row r="430" spans="14:28" ht="13.5">
      <c r="N430" s="3">
        <v>40112</v>
      </c>
      <c r="O430" t="s">
        <v>333</v>
      </c>
      <c r="Q430" s="7">
        <f>300*6</f>
        <v>1800</v>
      </c>
      <c r="R430" s="7">
        <f t="shared" si="99"/>
        <v>5878</v>
      </c>
      <c r="S430" s="11" t="s">
        <v>136</v>
      </c>
      <c r="T430" s="7">
        <f t="shared" si="96"/>
        <v>979.6666666666666</v>
      </c>
      <c r="V430" s="3">
        <v>40294</v>
      </c>
      <c r="W430" t="s">
        <v>369</v>
      </c>
      <c r="X430" s="7"/>
      <c r="Y430" s="7">
        <v>996</v>
      </c>
      <c r="Z430" s="6">
        <f t="shared" si="97"/>
        <v>16684</v>
      </c>
      <c r="AA430" s="11" t="s">
        <v>10</v>
      </c>
      <c r="AB430" s="7">
        <f t="shared" si="98"/>
        <v>3336.8</v>
      </c>
    </row>
    <row r="431" spans="14:28" ht="13.5">
      <c r="N431" s="3">
        <v>40114</v>
      </c>
      <c r="O431" t="s">
        <v>334</v>
      </c>
      <c r="Q431" s="7">
        <v>505</v>
      </c>
      <c r="R431" s="7">
        <f t="shared" si="99"/>
        <v>5373</v>
      </c>
      <c r="S431" s="11" t="s">
        <v>136</v>
      </c>
      <c r="T431" s="7">
        <f t="shared" si="96"/>
        <v>1343.25</v>
      </c>
      <c r="V431" s="3">
        <v>40294</v>
      </c>
      <c r="W431" t="s">
        <v>741</v>
      </c>
      <c r="X431" s="7"/>
      <c r="Y431" s="7">
        <v>105</v>
      </c>
      <c r="Z431" s="6">
        <f t="shared" si="97"/>
        <v>16579</v>
      </c>
      <c r="AA431" s="11" t="s">
        <v>10</v>
      </c>
      <c r="AB431" s="7">
        <f t="shared" si="98"/>
        <v>3315.8</v>
      </c>
    </row>
    <row r="432" spans="14:28" ht="13.5">
      <c r="N432" s="3">
        <v>40114</v>
      </c>
      <c r="O432" t="s">
        <v>101</v>
      </c>
      <c r="Q432" s="7">
        <v>120</v>
      </c>
      <c r="R432" s="7">
        <f t="shared" si="99"/>
        <v>5253</v>
      </c>
      <c r="S432" s="11" t="s">
        <v>136</v>
      </c>
      <c r="T432" s="7">
        <f t="shared" si="96"/>
        <v>1313.25</v>
      </c>
      <c r="V432" s="3">
        <v>40294</v>
      </c>
      <c r="W432" t="s">
        <v>742</v>
      </c>
      <c r="X432" s="7"/>
      <c r="Y432" s="7">
        <v>105</v>
      </c>
      <c r="Z432" s="6">
        <f t="shared" si="97"/>
        <v>16474</v>
      </c>
      <c r="AA432" s="11" t="s">
        <v>10</v>
      </c>
      <c r="AB432" s="7">
        <f t="shared" si="98"/>
        <v>3294.8</v>
      </c>
    </row>
    <row r="433" spans="14:28" ht="13.5">
      <c r="N433" s="3">
        <v>40116</v>
      </c>
      <c r="O433" t="s">
        <v>124</v>
      </c>
      <c r="Q433" s="7">
        <v>105</v>
      </c>
      <c r="R433" s="7">
        <f t="shared" si="99"/>
        <v>5148</v>
      </c>
      <c r="S433" s="11" t="s">
        <v>136</v>
      </c>
      <c r="T433" s="7">
        <f t="shared" si="96"/>
        <v>2574</v>
      </c>
      <c r="V433" s="3">
        <v>40294</v>
      </c>
      <c r="W433" t="s">
        <v>603</v>
      </c>
      <c r="X433" s="7"/>
      <c r="Y433" s="7">
        <v>150</v>
      </c>
      <c r="Z433" s="6">
        <f t="shared" si="97"/>
        <v>16324</v>
      </c>
      <c r="AA433" s="11" t="s">
        <v>10</v>
      </c>
      <c r="AB433" s="7">
        <f t="shared" si="98"/>
        <v>3264.8</v>
      </c>
    </row>
    <row r="434" spans="14:28" ht="13.5">
      <c r="N434" s="3">
        <v>40116</v>
      </c>
      <c r="O434" t="s">
        <v>120</v>
      </c>
      <c r="P434" s="7"/>
      <c r="Q434" s="7">
        <f>543+543</f>
        <v>1086</v>
      </c>
      <c r="R434" s="7">
        <f t="shared" si="99"/>
        <v>4062</v>
      </c>
      <c r="S434" s="11" t="s">
        <v>136</v>
      </c>
      <c r="T434" s="7">
        <f t="shared" si="96"/>
        <v>2031</v>
      </c>
      <c r="V434" s="3">
        <v>40294</v>
      </c>
      <c r="W434" t="s">
        <v>743</v>
      </c>
      <c r="X434" s="7"/>
      <c r="Y434" s="7">
        <v>123</v>
      </c>
      <c r="Z434" s="6">
        <f t="shared" si="97"/>
        <v>16201</v>
      </c>
      <c r="AA434" s="11" t="s">
        <v>10</v>
      </c>
      <c r="AB434" s="7">
        <f t="shared" si="98"/>
        <v>3240.2</v>
      </c>
    </row>
    <row r="435" spans="14:28" ht="13.5">
      <c r="N435" s="3">
        <v>40116</v>
      </c>
      <c r="O435" t="s">
        <v>335</v>
      </c>
      <c r="P435" s="7"/>
      <c r="Q435" s="7">
        <v>390</v>
      </c>
      <c r="R435" s="7">
        <f t="shared" si="99"/>
        <v>3672</v>
      </c>
      <c r="S435" s="11" t="s">
        <v>136</v>
      </c>
      <c r="T435" s="7">
        <f t="shared" si="96"/>
        <v>1836</v>
      </c>
      <c r="V435" s="3">
        <v>40294</v>
      </c>
      <c r="W435" t="s">
        <v>744</v>
      </c>
      <c r="X435" s="7"/>
      <c r="Y435" s="7">
        <v>105</v>
      </c>
      <c r="Z435" s="6">
        <f t="shared" si="97"/>
        <v>16096</v>
      </c>
      <c r="AA435" s="11" t="s">
        <v>10</v>
      </c>
      <c r="AB435" s="7">
        <f t="shared" si="98"/>
        <v>3219.2</v>
      </c>
    </row>
    <row r="436" spans="14:28" ht="13.5">
      <c r="N436" s="3">
        <v>40116</v>
      </c>
      <c r="O436" t="s">
        <v>43</v>
      </c>
      <c r="P436" s="7"/>
      <c r="Q436" s="7">
        <v>1000</v>
      </c>
      <c r="R436" s="7">
        <f t="shared" si="99"/>
        <v>2672</v>
      </c>
      <c r="S436" s="11" t="s">
        <v>136</v>
      </c>
      <c r="T436" s="7">
        <f t="shared" si="96"/>
        <v>1336</v>
      </c>
      <c r="V436" s="3">
        <v>40297</v>
      </c>
      <c r="W436" t="s">
        <v>745</v>
      </c>
      <c r="X436" s="7"/>
      <c r="Y436" s="7">
        <v>7850</v>
      </c>
      <c r="Z436" s="6">
        <f>+Z435+X436-Y436</f>
        <v>8246</v>
      </c>
      <c r="AA436" s="11" t="s">
        <v>10</v>
      </c>
      <c r="AB436" s="7">
        <f>+Z436/(40299-V436)</f>
        <v>4123</v>
      </c>
    </row>
    <row r="437" spans="14:28" ht="13.5">
      <c r="N437" s="3">
        <v>40118</v>
      </c>
      <c r="O437" t="s">
        <v>336</v>
      </c>
      <c r="P437" s="7"/>
      <c r="Q437" s="7">
        <v>900</v>
      </c>
      <c r="R437" s="7">
        <f t="shared" si="99"/>
        <v>1772</v>
      </c>
      <c r="S437" s="11" t="s">
        <v>136</v>
      </c>
      <c r="T437" s="7">
        <f aca="true" t="shared" si="100" ref="T437:T476">+R437/(40148-N437)</f>
        <v>59.06666666666667</v>
      </c>
      <c r="V437" s="3">
        <v>40297</v>
      </c>
      <c r="W437" t="s">
        <v>746</v>
      </c>
      <c r="X437" s="7"/>
      <c r="Y437" s="7">
        <v>4170</v>
      </c>
      <c r="Z437" s="6">
        <f aca="true" t="shared" si="101" ref="Z437:Z450">+Z436+X437-Y437</f>
        <v>4076</v>
      </c>
      <c r="AA437" s="11" t="s">
        <v>10</v>
      </c>
      <c r="AB437" s="7">
        <f>+Z437/(40299-V437)</f>
        <v>2038</v>
      </c>
    </row>
    <row r="438" spans="14:28" ht="13.5">
      <c r="N438" s="3">
        <v>40118</v>
      </c>
      <c r="O438" t="s">
        <v>279</v>
      </c>
      <c r="P438" s="7"/>
      <c r="Q438" s="7">
        <v>625</v>
      </c>
      <c r="R438" s="7">
        <f t="shared" si="99"/>
        <v>1147</v>
      </c>
      <c r="S438" s="11" t="s">
        <v>136</v>
      </c>
      <c r="T438" s="7">
        <f t="shared" si="100"/>
        <v>38.233333333333334</v>
      </c>
      <c r="V438" s="3">
        <v>40298</v>
      </c>
      <c r="W438" t="s">
        <v>29</v>
      </c>
      <c r="X438" s="7">
        <v>43000</v>
      </c>
      <c r="Y438" s="7"/>
      <c r="Z438" s="6">
        <f>+Z437+X438-Y438</f>
        <v>47076</v>
      </c>
      <c r="AA438" s="11" t="s">
        <v>10</v>
      </c>
      <c r="AB438" s="7">
        <f aca="true" t="shared" si="102" ref="AB438:AB451">+Z438/(40330-V438)</f>
        <v>1471.125</v>
      </c>
    </row>
    <row r="439" spans="14:28" ht="13.5">
      <c r="N439" s="3">
        <v>40119</v>
      </c>
      <c r="O439" t="s">
        <v>120</v>
      </c>
      <c r="P439" s="7"/>
      <c r="Q439" s="7">
        <v>827</v>
      </c>
      <c r="R439" s="7">
        <f t="shared" si="99"/>
        <v>320</v>
      </c>
      <c r="S439" s="11" t="s">
        <v>136</v>
      </c>
      <c r="T439" s="7">
        <f t="shared" si="100"/>
        <v>11.03448275862069</v>
      </c>
      <c r="V439" s="3">
        <v>40298</v>
      </c>
      <c r="W439" t="s">
        <v>747</v>
      </c>
      <c r="X439" s="7"/>
      <c r="Y439" s="7">
        <v>105</v>
      </c>
      <c r="Z439" s="6">
        <f t="shared" si="101"/>
        <v>46971</v>
      </c>
      <c r="AA439" s="11" t="s">
        <v>10</v>
      </c>
      <c r="AB439" s="7">
        <f t="shared" si="102"/>
        <v>1467.84375</v>
      </c>
    </row>
    <row r="440" spans="14:28" ht="13.5">
      <c r="N440" s="3">
        <v>40119</v>
      </c>
      <c r="O440" t="s">
        <v>29</v>
      </c>
      <c r="P440" s="7">
        <v>46000</v>
      </c>
      <c r="Q440" s="7"/>
      <c r="R440" s="7">
        <f t="shared" si="99"/>
        <v>46320</v>
      </c>
      <c r="S440" s="11" t="s">
        <v>136</v>
      </c>
      <c r="T440" s="7">
        <f t="shared" si="100"/>
        <v>1597.2413793103449</v>
      </c>
      <c r="V440" s="3">
        <v>40298</v>
      </c>
      <c r="W440" t="s">
        <v>748</v>
      </c>
      <c r="X440" s="7"/>
      <c r="Y440" s="7">
        <v>210</v>
      </c>
      <c r="Z440" s="6">
        <f t="shared" si="101"/>
        <v>46761</v>
      </c>
      <c r="AA440" s="11" t="s">
        <v>10</v>
      </c>
      <c r="AB440" s="7">
        <f t="shared" si="102"/>
        <v>1461.28125</v>
      </c>
    </row>
    <row r="441" spans="14:28" ht="13.5">
      <c r="N441" s="3">
        <v>40119</v>
      </c>
      <c r="O441" t="s">
        <v>337</v>
      </c>
      <c r="P441" s="7"/>
      <c r="Q441" s="7">
        <f>300*5</f>
        <v>1500</v>
      </c>
      <c r="R441" s="7">
        <f t="shared" si="99"/>
        <v>44820</v>
      </c>
      <c r="S441" s="11" t="s">
        <v>136</v>
      </c>
      <c r="T441" s="7">
        <f t="shared" si="100"/>
        <v>1545.5172413793102</v>
      </c>
      <c r="V441" s="3">
        <v>40298</v>
      </c>
      <c r="W441" t="s">
        <v>749</v>
      </c>
      <c r="X441" s="7"/>
      <c r="Y441" s="7">
        <v>105</v>
      </c>
      <c r="Z441" s="6">
        <f t="shared" si="101"/>
        <v>46656</v>
      </c>
      <c r="AA441" s="11" t="s">
        <v>10</v>
      </c>
      <c r="AB441" s="7">
        <f t="shared" si="102"/>
        <v>1458</v>
      </c>
    </row>
    <row r="442" spans="14:28" ht="13.5">
      <c r="N442" s="3">
        <v>40119</v>
      </c>
      <c r="O442" t="s">
        <v>312</v>
      </c>
      <c r="P442" s="7"/>
      <c r="Q442" s="7">
        <v>975</v>
      </c>
      <c r="R442" s="7">
        <f t="shared" si="99"/>
        <v>43845</v>
      </c>
      <c r="S442" s="11" t="s">
        <v>136</v>
      </c>
      <c r="T442" s="7">
        <f t="shared" si="100"/>
        <v>1511.896551724138</v>
      </c>
      <c r="V442" s="3">
        <v>40298</v>
      </c>
      <c r="W442" t="s">
        <v>686</v>
      </c>
      <c r="X442" s="7"/>
      <c r="Y442" s="7">
        <v>105</v>
      </c>
      <c r="Z442" s="6">
        <f t="shared" si="101"/>
        <v>46551</v>
      </c>
      <c r="AA442" s="11" t="s">
        <v>10</v>
      </c>
      <c r="AB442" s="7">
        <f t="shared" si="102"/>
        <v>1454.71875</v>
      </c>
    </row>
    <row r="443" spans="14:28" ht="13.5">
      <c r="N443" s="3">
        <v>40119</v>
      </c>
      <c r="O443" t="s">
        <v>338</v>
      </c>
      <c r="P443" s="7"/>
      <c r="Q443" s="7">
        <v>210</v>
      </c>
      <c r="R443" s="7">
        <f t="shared" si="99"/>
        <v>43635</v>
      </c>
      <c r="S443" s="11" t="s">
        <v>136</v>
      </c>
      <c r="T443" s="7">
        <f t="shared" si="100"/>
        <v>1504.655172413793</v>
      </c>
      <c r="V443" s="3">
        <v>40298</v>
      </c>
      <c r="W443" t="s">
        <v>750</v>
      </c>
      <c r="X443" s="7"/>
      <c r="Y443" s="7">
        <v>105</v>
      </c>
      <c r="Z443" s="6">
        <f t="shared" si="101"/>
        <v>46446</v>
      </c>
      <c r="AA443" s="11" t="s">
        <v>10</v>
      </c>
      <c r="AB443" s="7">
        <f t="shared" si="102"/>
        <v>1451.4375</v>
      </c>
    </row>
    <row r="444" spans="14:28" ht="13.5">
      <c r="N444" s="3">
        <v>40119</v>
      </c>
      <c r="O444" t="s">
        <v>339</v>
      </c>
      <c r="P444" s="7"/>
      <c r="Q444" s="7">
        <v>210</v>
      </c>
      <c r="R444" s="7">
        <f t="shared" si="99"/>
        <v>43425</v>
      </c>
      <c r="S444" s="11" t="s">
        <v>136</v>
      </c>
      <c r="T444" s="7">
        <f t="shared" si="100"/>
        <v>1497.4137931034484</v>
      </c>
      <c r="V444" s="3">
        <v>40298</v>
      </c>
      <c r="W444" t="s">
        <v>547</v>
      </c>
      <c r="X444" s="7"/>
      <c r="Y444" s="7">
        <v>105</v>
      </c>
      <c r="Z444" s="6">
        <f t="shared" si="101"/>
        <v>46341</v>
      </c>
      <c r="AA444" s="11" t="s">
        <v>10</v>
      </c>
      <c r="AB444" s="7">
        <f t="shared" si="102"/>
        <v>1448.15625</v>
      </c>
    </row>
    <row r="445" spans="14:28" ht="13.5">
      <c r="N445" s="3">
        <v>40119</v>
      </c>
      <c r="O445" t="s">
        <v>340</v>
      </c>
      <c r="P445" s="7"/>
      <c r="Q445" s="7">
        <f>1020-210</f>
        <v>810</v>
      </c>
      <c r="R445" s="7">
        <f t="shared" si="99"/>
        <v>42615</v>
      </c>
      <c r="S445" s="11" t="s">
        <v>136</v>
      </c>
      <c r="T445" s="7">
        <f t="shared" si="100"/>
        <v>1469.4827586206898</v>
      </c>
      <c r="V445" s="3">
        <v>40298</v>
      </c>
      <c r="W445" t="s">
        <v>282</v>
      </c>
      <c r="X445" s="7"/>
      <c r="Y445" s="7">
        <v>105</v>
      </c>
      <c r="Z445" s="6">
        <f t="shared" si="101"/>
        <v>46236</v>
      </c>
      <c r="AA445" s="11" t="s">
        <v>10</v>
      </c>
      <c r="AB445" s="7">
        <f t="shared" si="102"/>
        <v>1444.875</v>
      </c>
    </row>
    <row r="446" spans="14:28" ht="13.5">
      <c r="N446" s="3">
        <v>40119</v>
      </c>
      <c r="O446" t="s">
        <v>166</v>
      </c>
      <c r="P446" s="7"/>
      <c r="Q446" s="7">
        <v>958</v>
      </c>
      <c r="R446" s="7">
        <f t="shared" si="99"/>
        <v>41657</v>
      </c>
      <c r="S446" s="11" t="s">
        <v>136</v>
      </c>
      <c r="T446" s="7">
        <f t="shared" si="100"/>
        <v>1436.448275862069</v>
      </c>
      <c r="V446" s="3">
        <v>40298</v>
      </c>
      <c r="W446" t="s">
        <v>193</v>
      </c>
      <c r="X446" s="7"/>
      <c r="Y446" s="7">
        <v>105</v>
      </c>
      <c r="Z446" s="6">
        <f t="shared" si="101"/>
        <v>46131</v>
      </c>
      <c r="AA446" s="11" t="s">
        <v>10</v>
      </c>
      <c r="AB446" s="7">
        <f>+Z446/(40330-V446)</f>
        <v>1441.59375</v>
      </c>
    </row>
    <row r="447" spans="14:28" ht="13.5">
      <c r="N447" s="3">
        <v>40119</v>
      </c>
      <c r="O447" t="s">
        <v>341</v>
      </c>
      <c r="P447" s="7"/>
      <c r="Q447" s="7">
        <v>1680</v>
      </c>
      <c r="R447" s="7">
        <f t="shared" si="99"/>
        <v>39977</v>
      </c>
      <c r="S447" s="11" t="s">
        <v>136</v>
      </c>
      <c r="T447" s="7">
        <f t="shared" si="100"/>
        <v>1378.5172413793102</v>
      </c>
      <c r="V447" s="3">
        <v>40298</v>
      </c>
      <c r="W447" t="s">
        <v>369</v>
      </c>
      <c r="X447" s="7"/>
      <c r="Y447" s="7">
        <v>996</v>
      </c>
      <c r="Z447" s="6">
        <f t="shared" si="101"/>
        <v>45135</v>
      </c>
      <c r="AA447" s="11" t="s">
        <v>10</v>
      </c>
      <c r="AB447" s="7">
        <f t="shared" si="102"/>
        <v>1410.46875</v>
      </c>
    </row>
    <row r="448" spans="14:28" ht="13.5">
      <c r="N448" s="3">
        <v>40119</v>
      </c>
      <c r="O448" t="s">
        <v>342</v>
      </c>
      <c r="P448" s="7"/>
      <c r="Q448" s="7">
        <v>88</v>
      </c>
      <c r="R448" s="7">
        <f t="shared" si="99"/>
        <v>39889</v>
      </c>
      <c r="S448" s="11" t="s">
        <v>136</v>
      </c>
      <c r="T448" s="7">
        <f t="shared" si="100"/>
        <v>1375.4827586206898</v>
      </c>
      <c r="V448" s="3">
        <v>40298</v>
      </c>
      <c r="W448" t="s">
        <v>751</v>
      </c>
      <c r="X448" s="7"/>
      <c r="Y448" s="7">
        <v>598</v>
      </c>
      <c r="Z448" s="6">
        <f t="shared" si="101"/>
        <v>44537</v>
      </c>
      <c r="AA448" s="11" t="s">
        <v>10</v>
      </c>
      <c r="AB448" s="7">
        <f t="shared" si="102"/>
        <v>1391.78125</v>
      </c>
    </row>
    <row r="449" spans="14:28" ht="13.5">
      <c r="N449" s="3">
        <v>40119</v>
      </c>
      <c r="O449" t="s">
        <v>343</v>
      </c>
      <c r="P449" s="7"/>
      <c r="Q449" s="7">
        <v>2467</v>
      </c>
      <c r="R449" s="7">
        <f t="shared" si="99"/>
        <v>37422</v>
      </c>
      <c r="S449" s="11" t="s">
        <v>136</v>
      </c>
      <c r="T449" s="7">
        <f t="shared" si="100"/>
        <v>1290.4137931034484</v>
      </c>
      <c r="V449" s="3">
        <v>40298</v>
      </c>
      <c r="W449" t="s">
        <v>752</v>
      </c>
      <c r="X449" s="7"/>
      <c r="Y449" s="7">
        <v>298</v>
      </c>
      <c r="Z449" s="6">
        <f t="shared" si="101"/>
        <v>44239</v>
      </c>
      <c r="AA449" s="11" t="s">
        <v>10</v>
      </c>
      <c r="AB449" s="7">
        <f t="shared" si="102"/>
        <v>1382.46875</v>
      </c>
    </row>
    <row r="450" spans="14:28" ht="13.5">
      <c r="N450" s="3">
        <v>40121</v>
      </c>
      <c r="O450" t="s">
        <v>344</v>
      </c>
      <c r="P450" s="7"/>
      <c r="Q450" s="7">
        <v>640</v>
      </c>
      <c r="R450" s="7">
        <f t="shared" si="99"/>
        <v>36782</v>
      </c>
      <c r="S450" s="11" t="s">
        <v>136</v>
      </c>
      <c r="T450" s="7">
        <f t="shared" si="100"/>
        <v>1362.2962962962963</v>
      </c>
      <c r="V450" s="3">
        <v>40298</v>
      </c>
      <c r="W450" t="s">
        <v>753</v>
      </c>
      <c r="X450" s="7"/>
      <c r="Y450" s="7">
        <f>88*3</f>
        <v>264</v>
      </c>
      <c r="Z450" s="6">
        <f t="shared" si="101"/>
        <v>43975</v>
      </c>
      <c r="AA450" s="11" t="s">
        <v>10</v>
      </c>
      <c r="AB450" s="7">
        <f t="shared" si="102"/>
        <v>1374.21875</v>
      </c>
    </row>
    <row r="451" spans="14:28" ht="13.5">
      <c r="N451" s="3">
        <v>40121</v>
      </c>
      <c r="O451" t="s">
        <v>120</v>
      </c>
      <c r="P451" s="7"/>
      <c r="Q451" s="7">
        <v>1086</v>
      </c>
      <c r="R451" s="7">
        <f t="shared" si="99"/>
        <v>35696</v>
      </c>
      <c r="S451" s="11" t="s">
        <v>136</v>
      </c>
      <c r="T451" s="7">
        <f t="shared" si="100"/>
        <v>1322.0740740740741</v>
      </c>
      <c r="V451" s="3">
        <v>40298</v>
      </c>
      <c r="W451" t="s">
        <v>754</v>
      </c>
      <c r="X451" s="7"/>
      <c r="Y451" s="7">
        <v>207</v>
      </c>
      <c r="Z451" s="6">
        <f aca="true" t="shared" si="103" ref="Z451:Z477">+Z450+X451-Y451</f>
        <v>43768</v>
      </c>
      <c r="AA451" s="11" t="s">
        <v>10</v>
      </c>
      <c r="AB451" s="7">
        <f t="shared" si="102"/>
        <v>1367.75</v>
      </c>
    </row>
    <row r="452" spans="14:28" ht="13.5">
      <c r="N452" s="3">
        <v>40123</v>
      </c>
      <c r="O452" t="s">
        <v>345</v>
      </c>
      <c r="P452" s="7"/>
      <c r="Q452" s="7">
        <v>658</v>
      </c>
      <c r="R452" s="7">
        <f t="shared" si="99"/>
        <v>35038</v>
      </c>
      <c r="S452" s="11" t="s">
        <v>136</v>
      </c>
      <c r="T452" s="7">
        <f t="shared" si="100"/>
        <v>1401.52</v>
      </c>
      <c r="V452" s="3">
        <v>40298</v>
      </c>
      <c r="W452" t="s">
        <v>755</v>
      </c>
      <c r="X452" s="7"/>
      <c r="Y452" s="7">
        <v>398</v>
      </c>
      <c r="Z452" s="6">
        <f t="shared" si="103"/>
        <v>43370</v>
      </c>
      <c r="AA452" s="11" t="s">
        <v>10</v>
      </c>
      <c r="AB452" s="7">
        <f aca="true" t="shared" si="104" ref="AB452:AB477">+Z452/(40330-V452)</f>
        <v>1355.3125</v>
      </c>
    </row>
    <row r="453" spans="14:28" ht="13.5">
      <c r="N453" s="3">
        <v>40123</v>
      </c>
      <c r="O453" t="s">
        <v>346</v>
      </c>
      <c r="P453" s="7"/>
      <c r="Q453" s="7">
        <v>3626</v>
      </c>
      <c r="R453" s="7">
        <f t="shared" si="99"/>
        <v>31412</v>
      </c>
      <c r="S453" s="11" t="s">
        <v>136</v>
      </c>
      <c r="T453" s="7">
        <f t="shared" si="100"/>
        <v>1256.48</v>
      </c>
      <c r="V453" s="3">
        <v>40298</v>
      </c>
      <c r="W453" t="s">
        <v>756</v>
      </c>
      <c r="X453" s="7"/>
      <c r="Y453" s="7">
        <v>243</v>
      </c>
      <c r="Z453" s="6">
        <f t="shared" si="103"/>
        <v>43127</v>
      </c>
      <c r="AA453" s="11" t="s">
        <v>10</v>
      </c>
      <c r="AB453" s="7">
        <f t="shared" si="104"/>
        <v>1347.71875</v>
      </c>
    </row>
    <row r="454" spans="14:28" ht="13.5">
      <c r="N454" s="3">
        <v>40123</v>
      </c>
      <c r="O454" t="s">
        <v>347</v>
      </c>
      <c r="P454" s="7"/>
      <c r="Q454" s="7">
        <v>890</v>
      </c>
      <c r="R454" s="7">
        <f t="shared" si="99"/>
        <v>30522</v>
      </c>
      <c r="S454" s="11" t="s">
        <v>136</v>
      </c>
      <c r="T454" s="7">
        <f t="shared" si="100"/>
        <v>1220.88</v>
      </c>
      <c r="V454" s="3">
        <v>40298</v>
      </c>
      <c r="W454" t="s">
        <v>757</v>
      </c>
      <c r="X454" s="7"/>
      <c r="Y454" s="7">
        <v>258</v>
      </c>
      <c r="Z454" s="6">
        <f t="shared" si="103"/>
        <v>42869</v>
      </c>
      <c r="AA454" s="11" t="s">
        <v>10</v>
      </c>
      <c r="AB454" s="7">
        <f t="shared" si="104"/>
        <v>1339.65625</v>
      </c>
    </row>
    <row r="455" spans="14:28" ht="13.5">
      <c r="N455" s="3">
        <v>40123</v>
      </c>
      <c r="O455" t="s">
        <v>65</v>
      </c>
      <c r="P455" s="7"/>
      <c r="Q455" s="7">
        <v>1300</v>
      </c>
      <c r="R455" s="7">
        <f t="shared" si="99"/>
        <v>29222</v>
      </c>
      <c r="S455" s="11" t="s">
        <v>136</v>
      </c>
      <c r="T455" s="7">
        <f t="shared" si="100"/>
        <v>1168.88</v>
      </c>
      <c r="V455" s="3">
        <v>40298</v>
      </c>
      <c r="W455" t="s">
        <v>758</v>
      </c>
      <c r="X455" s="7"/>
      <c r="Y455" s="7">
        <v>3000</v>
      </c>
      <c r="Z455" s="6">
        <f t="shared" si="103"/>
        <v>39869</v>
      </c>
      <c r="AA455" s="11" t="s">
        <v>10</v>
      </c>
      <c r="AB455" s="7">
        <f t="shared" si="104"/>
        <v>1245.90625</v>
      </c>
    </row>
    <row r="456" spans="14:28" ht="13.5">
      <c r="N456" s="3">
        <v>40123</v>
      </c>
      <c r="O456" t="s">
        <v>348</v>
      </c>
      <c r="P456" s="7"/>
      <c r="Q456" s="7">
        <v>354</v>
      </c>
      <c r="R456" s="7">
        <f t="shared" si="99"/>
        <v>28868</v>
      </c>
      <c r="S456" s="11" t="s">
        <v>136</v>
      </c>
      <c r="T456" s="7">
        <f t="shared" si="100"/>
        <v>1154.72</v>
      </c>
      <c r="V456" s="3">
        <v>40298</v>
      </c>
      <c r="W456" t="s">
        <v>759</v>
      </c>
      <c r="X456" s="7"/>
      <c r="Y456" s="7">
        <v>-85</v>
      </c>
      <c r="Z456" s="6">
        <f t="shared" si="103"/>
        <v>39954</v>
      </c>
      <c r="AA456" s="11" t="s">
        <v>10</v>
      </c>
      <c r="AB456" s="7">
        <f t="shared" si="104"/>
        <v>1248.5625</v>
      </c>
    </row>
    <row r="457" spans="14:28" ht="13.5">
      <c r="N457" s="3">
        <v>40123</v>
      </c>
      <c r="O457" t="s">
        <v>349</v>
      </c>
      <c r="P457" s="7"/>
      <c r="Q457" s="7">
        <v>256</v>
      </c>
      <c r="R457" s="7">
        <f t="shared" si="99"/>
        <v>28612</v>
      </c>
      <c r="S457" s="11" t="s">
        <v>136</v>
      </c>
      <c r="T457" s="7">
        <f t="shared" si="100"/>
        <v>1144.48</v>
      </c>
      <c r="V457" s="3">
        <v>40298</v>
      </c>
      <c r="W457" s="34" t="s">
        <v>761</v>
      </c>
      <c r="X457" s="7"/>
      <c r="Y457" s="7"/>
      <c r="Z457" s="6">
        <f t="shared" si="103"/>
        <v>39954</v>
      </c>
      <c r="AA457" s="11" t="s">
        <v>10</v>
      </c>
      <c r="AB457" s="7">
        <f t="shared" si="104"/>
        <v>1248.5625</v>
      </c>
    </row>
    <row r="458" spans="14:28" ht="13.5">
      <c r="N458" s="3">
        <v>40123</v>
      </c>
      <c r="O458" t="s">
        <v>120</v>
      </c>
      <c r="P458" s="7"/>
      <c r="Q458" s="7">
        <v>996</v>
      </c>
      <c r="R458" s="7">
        <f t="shared" si="99"/>
        <v>27616</v>
      </c>
      <c r="S458" s="11" t="s">
        <v>136</v>
      </c>
      <c r="T458" s="7">
        <f t="shared" si="100"/>
        <v>1104.64</v>
      </c>
      <c r="V458" s="3">
        <v>40299</v>
      </c>
      <c r="W458" s="25" t="s">
        <v>760</v>
      </c>
      <c r="X458" s="7">
        <v>10000</v>
      </c>
      <c r="Y458" s="7">
        <v>10000</v>
      </c>
      <c r="Z458" s="6">
        <f t="shared" si="103"/>
        <v>39954</v>
      </c>
      <c r="AA458" s="11" t="s">
        <v>10</v>
      </c>
      <c r="AB458" s="7">
        <f t="shared" si="104"/>
        <v>1288.8387096774193</v>
      </c>
    </row>
    <row r="459" spans="14:28" ht="13.5">
      <c r="N459" s="3">
        <v>40123</v>
      </c>
      <c r="O459" t="s">
        <v>350</v>
      </c>
      <c r="P459" s="7"/>
      <c r="Q459" s="7">
        <f>140*40</f>
        <v>5600</v>
      </c>
      <c r="R459" s="7">
        <f t="shared" si="99"/>
        <v>22016</v>
      </c>
      <c r="S459" s="11" t="s">
        <v>136</v>
      </c>
      <c r="T459" s="7">
        <f t="shared" si="100"/>
        <v>880.64</v>
      </c>
      <c r="V459" s="3">
        <v>40299</v>
      </c>
      <c r="W459" t="s">
        <v>298</v>
      </c>
      <c r="X459" s="7"/>
      <c r="Y459" s="7">
        <v>650</v>
      </c>
      <c r="Z459" s="6">
        <f t="shared" si="103"/>
        <v>39304</v>
      </c>
      <c r="AA459" s="11" t="s">
        <v>10</v>
      </c>
      <c r="AB459" s="7">
        <f t="shared" si="104"/>
        <v>1267.8709677419354</v>
      </c>
    </row>
    <row r="460" spans="14:28" ht="13.5">
      <c r="N460" s="3">
        <v>40123</v>
      </c>
      <c r="O460" t="s">
        <v>350</v>
      </c>
      <c r="P460" s="7"/>
      <c r="Q460" s="7">
        <v>320</v>
      </c>
      <c r="R460" s="7">
        <f t="shared" si="99"/>
        <v>21696</v>
      </c>
      <c r="S460" s="11" t="s">
        <v>136</v>
      </c>
      <c r="T460" s="7">
        <f t="shared" si="100"/>
        <v>867.84</v>
      </c>
      <c r="V460" s="3">
        <v>40299</v>
      </c>
      <c r="W460" s="11" t="s">
        <v>762</v>
      </c>
      <c r="X460" s="7"/>
      <c r="Y460" s="7"/>
      <c r="Z460" s="6">
        <f t="shared" si="103"/>
        <v>39304</v>
      </c>
      <c r="AA460" s="11" t="s">
        <v>10</v>
      </c>
      <c r="AB460" s="7">
        <f t="shared" si="104"/>
        <v>1267.8709677419354</v>
      </c>
    </row>
    <row r="461" spans="14:28" ht="13.5">
      <c r="N461" s="3">
        <v>40123</v>
      </c>
      <c r="O461" t="s">
        <v>42</v>
      </c>
      <c r="P461" s="7"/>
      <c r="Q461" s="7">
        <f>2210-300</f>
        <v>1910</v>
      </c>
      <c r="R461" s="7">
        <f t="shared" si="99"/>
        <v>19786</v>
      </c>
      <c r="S461" s="11" t="s">
        <v>136</v>
      </c>
      <c r="T461" s="7">
        <f t="shared" si="100"/>
        <v>791.44</v>
      </c>
      <c r="V461" s="3">
        <v>40299</v>
      </c>
      <c r="W461" s="29" t="s">
        <v>779</v>
      </c>
      <c r="X461" s="7"/>
      <c r="Y461" s="7">
        <v>870</v>
      </c>
      <c r="Z461" s="6">
        <f t="shared" si="103"/>
        <v>38434</v>
      </c>
      <c r="AA461" s="11" t="s">
        <v>10</v>
      </c>
      <c r="AB461" s="7">
        <f t="shared" si="104"/>
        <v>1239.8064516129032</v>
      </c>
    </row>
    <row r="462" spans="14:28" ht="13.5">
      <c r="N462" s="3">
        <v>40126</v>
      </c>
      <c r="O462" t="s">
        <v>101</v>
      </c>
      <c r="P462" s="7"/>
      <c r="Q462" s="7">
        <v>120</v>
      </c>
      <c r="R462" s="7">
        <f t="shared" si="99"/>
        <v>19666</v>
      </c>
      <c r="S462" s="11" t="s">
        <v>136</v>
      </c>
      <c r="T462" s="7">
        <f t="shared" si="100"/>
        <v>893.9090909090909</v>
      </c>
      <c r="V462" s="3">
        <v>40299</v>
      </c>
      <c r="W462" t="s">
        <v>763</v>
      </c>
      <c r="X462" s="7"/>
      <c r="Y462" s="7">
        <v>1680</v>
      </c>
      <c r="Z462" s="6">
        <f t="shared" si="103"/>
        <v>36754</v>
      </c>
      <c r="AA462" s="28">
        <f>+(36754-34817)/36754</f>
        <v>0.05270174674865321</v>
      </c>
      <c r="AB462" s="7">
        <f t="shared" si="104"/>
        <v>1185.6129032258063</v>
      </c>
    </row>
    <row r="463" spans="14:30" ht="13.5">
      <c r="N463" s="3">
        <v>40126</v>
      </c>
      <c r="O463" t="s">
        <v>120</v>
      </c>
      <c r="P463" s="7"/>
      <c r="Q463" s="7">
        <v>856</v>
      </c>
      <c r="R463" s="7">
        <f t="shared" si="99"/>
        <v>18810</v>
      </c>
      <c r="S463" s="11" t="s">
        <v>136</v>
      </c>
      <c r="T463" s="7">
        <f t="shared" si="100"/>
        <v>855</v>
      </c>
      <c r="V463" s="3">
        <v>40299</v>
      </c>
      <c r="W463" t="s">
        <v>759</v>
      </c>
      <c r="X463" s="7"/>
      <c r="Y463" s="7">
        <f>36754-34817+9</f>
        <v>1946</v>
      </c>
      <c r="Z463" s="6">
        <f t="shared" si="103"/>
        <v>34808</v>
      </c>
      <c r="AA463" s="11" t="s">
        <v>10</v>
      </c>
      <c r="AB463" s="7">
        <f t="shared" si="104"/>
        <v>1122.8387096774193</v>
      </c>
      <c r="AD463" s="35"/>
    </row>
    <row r="464" spans="14:28" ht="13.5">
      <c r="N464" s="3">
        <v>40126</v>
      </c>
      <c r="O464" t="s">
        <v>351</v>
      </c>
      <c r="P464" s="7"/>
      <c r="Q464" s="7">
        <v>138</v>
      </c>
      <c r="R464" s="7">
        <f t="shared" si="99"/>
        <v>18672</v>
      </c>
      <c r="S464" s="11" t="s">
        <v>136</v>
      </c>
      <c r="T464" s="7">
        <f t="shared" si="100"/>
        <v>848.7272727272727</v>
      </c>
      <c r="V464" s="3">
        <v>40301</v>
      </c>
      <c r="W464" t="s">
        <v>764</v>
      </c>
      <c r="X464" s="7"/>
      <c r="Y464" s="7">
        <v>3775</v>
      </c>
      <c r="Z464" s="6">
        <f t="shared" si="103"/>
        <v>31033</v>
      </c>
      <c r="AA464" s="11" t="s">
        <v>10</v>
      </c>
      <c r="AB464" s="7">
        <f t="shared" si="104"/>
        <v>1070.103448275862</v>
      </c>
    </row>
    <row r="465" spans="14:28" ht="13.5">
      <c r="N465" s="3">
        <v>40126</v>
      </c>
      <c r="O465" t="s">
        <v>126</v>
      </c>
      <c r="P465" s="7"/>
      <c r="Q465" s="7">
        <v>105</v>
      </c>
      <c r="R465" s="7">
        <f t="shared" si="99"/>
        <v>18567</v>
      </c>
      <c r="S465" s="11" t="s">
        <v>136</v>
      </c>
      <c r="T465" s="7">
        <f t="shared" si="100"/>
        <v>843.9545454545455</v>
      </c>
      <c r="V465" s="3">
        <v>40301</v>
      </c>
      <c r="W465" t="s">
        <v>40</v>
      </c>
      <c r="Y465" s="7">
        <v>120</v>
      </c>
      <c r="Z465" s="6">
        <f t="shared" si="103"/>
        <v>30913</v>
      </c>
      <c r="AA465" s="11" t="s">
        <v>10</v>
      </c>
      <c r="AB465" s="7">
        <f t="shared" si="104"/>
        <v>1065.9655172413793</v>
      </c>
    </row>
    <row r="466" spans="14:28" ht="13.5">
      <c r="N466" s="3">
        <v>40126</v>
      </c>
      <c r="O466" t="s">
        <v>352</v>
      </c>
      <c r="P466" s="7"/>
      <c r="Q466" s="7">
        <v>4295</v>
      </c>
      <c r="R466" s="7">
        <f t="shared" si="99"/>
        <v>14272</v>
      </c>
      <c r="S466" s="11" t="s">
        <v>136</v>
      </c>
      <c r="T466" s="7">
        <f t="shared" si="100"/>
        <v>648.7272727272727</v>
      </c>
      <c r="V466" s="3">
        <v>40301</v>
      </c>
      <c r="W466" t="s">
        <v>765</v>
      </c>
      <c r="Y466" s="7">
        <v>105</v>
      </c>
      <c r="Z466" s="6">
        <f t="shared" si="103"/>
        <v>30808</v>
      </c>
      <c r="AA466" s="11" t="s">
        <v>10</v>
      </c>
      <c r="AB466" s="7">
        <f t="shared" si="104"/>
        <v>1062.344827586207</v>
      </c>
    </row>
    <row r="467" spans="14:28" ht="13.5">
      <c r="N467" s="3">
        <v>40128</v>
      </c>
      <c r="O467" t="s">
        <v>353</v>
      </c>
      <c r="P467" s="7"/>
      <c r="Q467" s="7">
        <f>510-120</f>
        <v>390</v>
      </c>
      <c r="R467" s="7">
        <f t="shared" si="99"/>
        <v>13882</v>
      </c>
      <c r="S467" s="11" t="s">
        <v>136</v>
      </c>
      <c r="T467" s="7">
        <f t="shared" si="100"/>
        <v>694.1</v>
      </c>
      <c r="V467" s="3">
        <v>40301</v>
      </c>
      <c r="W467" t="s">
        <v>766</v>
      </c>
      <c r="Y467" s="7">
        <v>105</v>
      </c>
      <c r="Z467" s="6">
        <f t="shared" si="103"/>
        <v>30703</v>
      </c>
      <c r="AA467" s="11" t="s">
        <v>10</v>
      </c>
      <c r="AB467" s="7">
        <f t="shared" si="104"/>
        <v>1058.7241379310344</v>
      </c>
    </row>
    <row r="468" spans="14:28" ht="13.5">
      <c r="N468" s="3">
        <v>40130</v>
      </c>
      <c r="O468" t="s">
        <v>354</v>
      </c>
      <c r="P468" s="7"/>
      <c r="Q468" s="7">
        <v>2800</v>
      </c>
      <c r="R468" s="7">
        <f t="shared" si="99"/>
        <v>11082</v>
      </c>
      <c r="S468" s="11" t="s">
        <v>136</v>
      </c>
      <c r="T468" s="7">
        <f t="shared" si="100"/>
        <v>615.6666666666666</v>
      </c>
      <c r="V468" s="3">
        <v>40301</v>
      </c>
      <c r="W468" t="s">
        <v>705</v>
      </c>
      <c r="Y468" s="7">
        <v>105</v>
      </c>
      <c r="Z468" s="6">
        <f t="shared" si="103"/>
        <v>30598</v>
      </c>
      <c r="AA468" s="11" t="s">
        <v>10</v>
      </c>
      <c r="AB468" s="7">
        <f t="shared" si="104"/>
        <v>1055.103448275862</v>
      </c>
    </row>
    <row r="469" spans="14:28" ht="13.5">
      <c r="N469" s="3">
        <v>40130</v>
      </c>
      <c r="O469" t="s">
        <v>89</v>
      </c>
      <c r="P469" s="7"/>
      <c r="Q469" s="7">
        <v>105</v>
      </c>
      <c r="R469" s="7">
        <f t="shared" si="99"/>
        <v>10977</v>
      </c>
      <c r="S469" s="11" t="s">
        <v>136</v>
      </c>
      <c r="T469" s="7">
        <f t="shared" si="100"/>
        <v>609.8333333333334</v>
      </c>
      <c r="V469" s="3">
        <v>40301</v>
      </c>
      <c r="W469" t="s">
        <v>767</v>
      </c>
      <c r="Y469" s="7">
        <v>105</v>
      </c>
      <c r="Z469" s="6">
        <f t="shared" si="103"/>
        <v>30493</v>
      </c>
      <c r="AA469" s="11" t="s">
        <v>10</v>
      </c>
      <c r="AB469" s="7">
        <f t="shared" si="104"/>
        <v>1051.4827586206898</v>
      </c>
    </row>
    <row r="470" spans="14:28" ht="13.5">
      <c r="N470" s="3">
        <v>40130</v>
      </c>
      <c r="O470" t="s">
        <v>355</v>
      </c>
      <c r="P470" s="7"/>
      <c r="Q470" s="7">
        <v>105</v>
      </c>
      <c r="R470" s="7">
        <f t="shared" si="99"/>
        <v>10872</v>
      </c>
      <c r="S470" s="11" t="s">
        <v>136</v>
      </c>
      <c r="T470" s="7">
        <f t="shared" si="100"/>
        <v>604</v>
      </c>
      <c r="V470" s="3">
        <v>40301</v>
      </c>
      <c r="W470" t="s">
        <v>768</v>
      </c>
      <c r="Y470" s="7">
        <v>105</v>
      </c>
      <c r="Z470" s="6">
        <f t="shared" si="103"/>
        <v>30388</v>
      </c>
      <c r="AA470" s="11" t="s">
        <v>10</v>
      </c>
      <c r="AB470" s="7">
        <f t="shared" si="104"/>
        <v>1047.8620689655172</v>
      </c>
    </row>
    <row r="471" spans="14:28" ht="13.5">
      <c r="N471" s="3">
        <v>40130</v>
      </c>
      <c r="O471" t="s">
        <v>80</v>
      </c>
      <c r="P471" s="7"/>
      <c r="Q471" s="7">
        <v>105</v>
      </c>
      <c r="R471" s="7">
        <f t="shared" si="99"/>
        <v>10767</v>
      </c>
      <c r="S471" s="11" t="s">
        <v>136</v>
      </c>
      <c r="T471" s="7">
        <f t="shared" si="100"/>
        <v>598.1666666666666</v>
      </c>
      <c r="V471" s="3">
        <v>40301</v>
      </c>
      <c r="W471" t="s">
        <v>769</v>
      </c>
      <c r="Y471" s="7">
        <v>105</v>
      </c>
      <c r="Z471" s="6">
        <f t="shared" si="103"/>
        <v>30283</v>
      </c>
      <c r="AA471" s="11" t="s">
        <v>10</v>
      </c>
      <c r="AB471" s="7">
        <f t="shared" si="104"/>
        <v>1044.2413793103449</v>
      </c>
    </row>
    <row r="472" spans="14:28" ht="13.5">
      <c r="N472" s="3">
        <v>40130</v>
      </c>
      <c r="O472" t="s">
        <v>124</v>
      </c>
      <c r="P472" s="7"/>
      <c r="Q472" s="7">
        <v>105</v>
      </c>
      <c r="R472" s="7">
        <f t="shared" si="99"/>
        <v>10662</v>
      </c>
      <c r="S472" s="11" t="s">
        <v>136</v>
      </c>
      <c r="T472" s="7">
        <f t="shared" si="100"/>
        <v>592.3333333333334</v>
      </c>
      <c r="V472" s="3">
        <v>40301</v>
      </c>
      <c r="W472" t="s">
        <v>770</v>
      </c>
      <c r="Y472" s="7">
        <v>105</v>
      </c>
      <c r="Z472" s="6">
        <f t="shared" si="103"/>
        <v>30178</v>
      </c>
      <c r="AA472" s="11" t="s">
        <v>10</v>
      </c>
      <c r="AB472" s="7">
        <f t="shared" si="104"/>
        <v>1040.6206896551723</v>
      </c>
    </row>
    <row r="473" spans="14:28" ht="13.5">
      <c r="N473" s="3">
        <v>40130</v>
      </c>
      <c r="O473" t="s">
        <v>120</v>
      </c>
      <c r="P473" s="7"/>
      <c r="Q473" s="7">
        <v>996</v>
      </c>
      <c r="R473" s="7">
        <f t="shared" si="99"/>
        <v>9666</v>
      </c>
      <c r="S473" s="11" t="s">
        <v>136</v>
      </c>
      <c r="T473" s="7">
        <f t="shared" si="100"/>
        <v>537</v>
      </c>
      <c r="V473" s="3">
        <v>40301</v>
      </c>
      <c r="W473" t="s">
        <v>771</v>
      </c>
      <c r="Y473" s="7">
        <v>105</v>
      </c>
      <c r="Z473" s="6">
        <f t="shared" si="103"/>
        <v>30073</v>
      </c>
      <c r="AA473" s="11" t="s">
        <v>10</v>
      </c>
      <c r="AB473" s="7">
        <f t="shared" si="104"/>
        <v>1037</v>
      </c>
    </row>
    <row r="474" spans="14:28" ht="13.5">
      <c r="N474" s="3">
        <v>40133</v>
      </c>
      <c r="O474" t="s">
        <v>120</v>
      </c>
      <c r="P474" s="7"/>
      <c r="Q474" s="7">
        <v>996</v>
      </c>
      <c r="R474" s="7">
        <f t="shared" si="99"/>
        <v>8670</v>
      </c>
      <c r="S474" s="11" t="s">
        <v>136</v>
      </c>
      <c r="T474" s="7">
        <f t="shared" si="100"/>
        <v>578</v>
      </c>
      <c r="V474" s="3">
        <v>40301</v>
      </c>
      <c r="W474" t="s">
        <v>772</v>
      </c>
      <c r="X474" s="7"/>
      <c r="Y474" s="7">
        <f>280*2</f>
        <v>560</v>
      </c>
      <c r="Z474" s="6">
        <f t="shared" si="103"/>
        <v>29513</v>
      </c>
      <c r="AA474" s="11" t="s">
        <v>10</v>
      </c>
      <c r="AB474" s="7">
        <f t="shared" si="104"/>
        <v>1017.6896551724138</v>
      </c>
    </row>
    <row r="475" spans="14:28" ht="13.5">
      <c r="N475" s="3">
        <v>40133</v>
      </c>
      <c r="O475" t="s">
        <v>356</v>
      </c>
      <c r="P475" s="7"/>
      <c r="Q475" s="7">
        <v>300</v>
      </c>
      <c r="R475" s="7">
        <f t="shared" si="99"/>
        <v>8370</v>
      </c>
      <c r="S475" s="11" t="s">
        <v>136</v>
      </c>
      <c r="T475" s="7">
        <f t="shared" si="100"/>
        <v>558</v>
      </c>
      <c r="V475" s="3">
        <v>40301</v>
      </c>
      <c r="W475" t="s">
        <v>775</v>
      </c>
      <c r="X475" s="7"/>
      <c r="Y475" s="7">
        <v>784</v>
      </c>
      <c r="Z475" s="6">
        <f t="shared" si="103"/>
        <v>28729</v>
      </c>
      <c r="AA475" s="11" t="s">
        <v>10</v>
      </c>
      <c r="AB475" s="7">
        <f t="shared" si="104"/>
        <v>990.6551724137931</v>
      </c>
    </row>
    <row r="476" spans="14:28" ht="13.5">
      <c r="N476" s="3">
        <v>40133</v>
      </c>
      <c r="O476" t="s">
        <v>124</v>
      </c>
      <c r="P476" s="7"/>
      <c r="Q476" s="7">
        <v>105</v>
      </c>
      <c r="R476" s="7">
        <f t="shared" si="99"/>
        <v>8265</v>
      </c>
      <c r="S476" s="11" t="s">
        <v>136</v>
      </c>
      <c r="T476" s="7">
        <f t="shared" si="100"/>
        <v>551</v>
      </c>
      <c r="V476" s="3">
        <v>40301</v>
      </c>
      <c r="W476" t="s">
        <v>773</v>
      </c>
      <c r="X476" s="7"/>
      <c r="Y476" s="7">
        <v>1260</v>
      </c>
      <c r="Z476" s="6">
        <f t="shared" si="103"/>
        <v>27469</v>
      </c>
      <c r="AA476" s="11" t="s">
        <v>10</v>
      </c>
      <c r="AB476" s="7">
        <f t="shared" si="104"/>
        <v>947.2068965517242</v>
      </c>
    </row>
    <row r="477" spans="14:28" ht="13.5">
      <c r="N477" s="3">
        <v>40135</v>
      </c>
      <c r="O477" t="s">
        <v>357</v>
      </c>
      <c r="P477" s="7"/>
      <c r="Q477" s="7">
        <v>210</v>
      </c>
      <c r="R477" s="7">
        <f>+R476+P477-Q477</f>
        <v>8055</v>
      </c>
      <c r="S477" s="11" t="s">
        <v>136</v>
      </c>
      <c r="T477" s="7">
        <f>+R477/(40148-N477)</f>
        <v>619.6153846153846</v>
      </c>
      <c r="V477" s="3">
        <v>40301</v>
      </c>
      <c r="W477" t="s">
        <v>774</v>
      </c>
      <c r="X477" s="7"/>
      <c r="Y477" s="7">
        <v>330</v>
      </c>
      <c r="Z477" s="6">
        <f t="shared" si="103"/>
        <v>27139</v>
      </c>
      <c r="AA477" s="11" t="s">
        <v>10</v>
      </c>
      <c r="AB477" s="7">
        <f t="shared" si="104"/>
        <v>935.8275862068965</v>
      </c>
    </row>
    <row r="478" spans="14:28" ht="13.5">
      <c r="N478" s="3">
        <v>40135</v>
      </c>
      <c r="O478" t="s">
        <v>40</v>
      </c>
      <c r="P478" s="7"/>
      <c r="Q478" s="7">
        <v>120</v>
      </c>
      <c r="R478" s="7">
        <f>+R477+P478-Q478</f>
        <v>7935</v>
      </c>
      <c r="S478" s="11" t="s">
        <v>136</v>
      </c>
      <c r="T478" s="7">
        <f>+R478/(40148-N478)</f>
        <v>610.3846153846154</v>
      </c>
      <c r="V478" s="3">
        <v>40301</v>
      </c>
      <c r="W478" t="s">
        <v>50</v>
      </c>
      <c r="X478" s="7"/>
      <c r="Y478" s="7">
        <v>50</v>
      </c>
      <c r="Z478" s="6">
        <f aca="true" t="shared" si="105" ref="Z478:Z487">+Z477+X478-Y478</f>
        <v>27089</v>
      </c>
      <c r="AA478" s="11" t="s">
        <v>10</v>
      </c>
      <c r="AB478" s="7">
        <f aca="true" t="shared" si="106" ref="AB478:AB487">+Z478/(40330-V478)</f>
        <v>934.1034482758621</v>
      </c>
    </row>
    <row r="479" spans="14:28" ht="13.5">
      <c r="N479" s="3">
        <v>40137</v>
      </c>
      <c r="O479" t="s">
        <v>120</v>
      </c>
      <c r="P479" s="7"/>
      <c r="Q479" s="7">
        <v>996</v>
      </c>
      <c r="R479" s="7">
        <f aca="true" t="shared" si="107" ref="R479:R524">+R478+P479-Q479</f>
        <v>6939</v>
      </c>
      <c r="S479" s="11" t="s">
        <v>136</v>
      </c>
      <c r="T479" s="7">
        <f aca="true" t="shared" si="108" ref="T479:T508">+R479/(40148-N479)</f>
        <v>630.8181818181819</v>
      </c>
      <c r="V479" s="3">
        <v>40301</v>
      </c>
      <c r="W479" t="s">
        <v>517</v>
      </c>
      <c r="X479" s="7"/>
      <c r="Y479" s="7">
        <v>996</v>
      </c>
      <c r="Z479" s="6">
        <f t="shared" si="105"/>
        <v>26093</v>
      </c>
      <c r="AA479" s="28">
        <f>50/7669</f>
        <v>0.006519754857217368</v>
      </c>
      <c r="AB479" s="7">
        <f t="shared" si="106"/>
        <v>899.7586206896551</v>
      </c>
    </row>
    <row r="480" spans="14:28" ht="13.5">
      <c r="N480" s="3">
        <v>40137</v>
      </c>
      <c r="O480" t="s">
        <v>325</v>
      </c>
      <c r="P480" s="7"/>
      <c r="Q480" s="7">
        <v>980</v>
      </c>
      <c r="R480" s="7">
        <f t="shared" si="107"/>
        <v>5959</v>
      </c>
      <c r="S480" s="11" t="s">
        <v>136</v>
      </c>
      <c r="T480" s="7">
        <f t="shared" si="108"/>
        <v>541.7272727272727</v>
      </c>
      <c r="V480" s="3">
        <v>40301</v>
      </c>
      <c r="W480" t="s">
        <v>776</v>
      </c>
      <c r="X480" s="7"/>
      <c r="Y480" s="7">
        <v>525</v>
      </c>
      <c r="Z480" s="6">
        <f t="shared" si="105"/>
        <v>25568</v>
      </c>
      <c r="AA480" s="11" t="s">
        <v>10</v>
      </c>
      <c r="AB480" s="7">
        <f t="shared" si="106"/>
        <v>881.6551724137931</v>
      </c>
    </row>
    <row r="481" spans="14:28" ht="13.5">
      <c r="N481" s="3">
        <v>40137</v>
      </c>
      <c r="O481" t="s">
        <v>358</v>
      </c>
      <c r="P481" s="7"/>
      <c r="Q481" s="7">
        <f>1628-980</f>
        <v>648</v>
      </c>
      <c r="R481" s="7">
        <f t="shared" si="107"/>
        <v>5311</v>
      </c>
      <c r="S481" s="11" t="s">
        <v>136</v>
      </c>
      <c r="T481" s="7">
        <f t="shared" si="108"/>
        <v>482.8181818181818</v>
      </c>
      <c r="V481" s="3">
        <v>40301</v>
      </c>
      <c r="W481" t="s">
        <v>585</v>
      </c>
      <c r="X481" s="7"/>
      <c r="Y481" s="7">
        <v>105</v>
      </c>
      <c r="Z481" s="6">
        <f t="shared" si="105"/>
        <v>25463</v>
      </c>
      <c r="AA481" s="11" t="s">
        <v>10</v>
      </c>
      <c r="AB481" s="7">
        <f t="shared" si="106"/>
        <v>878.0344827586207</v>
      </c>
    </row>
    <row r="482" spans="14:28" ht="13.5">
      <c r="N482" s="3">
        <v>40137</v>
      </c>
      <c r="O482" t="s">
        <v>359</v>
      </c>
      <c r="P482" s="7"/>
      <c r="Q482" s="7">
        <v>105</v>
      </c>
      <c r="R482" s="7">
        <f t="shared" si="107"/>
        <v>5206</v>
      </c>
      <c r="S482" s="11" t="s">
        <v>136</v>
      </c>
      <c r="T482" s="7">
        <f t="shared" si="108"/>
        <v>473.27272727272725</v>
      </c>
      <c r="V482" s="3">
        <v>40301</v>
      </c>
      <c r="W482" t="s">
        <v>603</v>
      </c>
      <c r="X482" s="7"/>
      <c r="Y482" s="7">
        <v>105</v>
      </c>
      <c r="Z482" s="6">
        <f t="shared" si="105"/>
        <v>25358</v>
      </c>
      <c r="AA482" s="11" t="s">
        <v>10</v>
      </c>
      <c r="AB482" s="7">
        <f t="shared" si="106"/>
        <v>874.4137931034483</v>
      </c>
    </row>
    <row r="483" spans="14:28" ht="13.5">
      <c r="N483" s="3">
        <v>40137</v>
      </c>
      <c r="O483" t="s">
        <v>360</v>
      </c>
      <c r="P483" s="16">
        <f>105+100</f>
        <v>205</v>
      </c>
      <c r="Q483" s="16">
        <f>105+100</f>
        <v>205</v>
      </c>
      <c r="R483" s="7">
        <f t="shared" si="107"/>
        <v>5206</v>
      </c>
      <c r="S483" s="11" t="s">
        <v>136</v>
      </c>
      <c r="T483" s="7">
        <f t="shared" si="108"/>
        <v>473.27272727272725</v>
      </c>
      <c r="V483" s="3">
        <v>40301</v>
      </c>
      <c r="W483" t="s">
        <v>778</v>
      </c>
      <c r="X483" s="7"/>
      <c r="Y483" s="7">
        <v>105</v>
      </c>
      <c r="Z483" s="6">
        <f t="shared" si="105"/>
        <v>25253</v>
      </c>
      <c r="AA483" s="11" t="s">
        <v>10</v>
      </c>
      <c r="AB483" s="7">
        <f t="shared" si="106"/>
        <v>870.7931034482758</v>
      </c>
    </row>
    <row r="484" spans="14:28" ht="13.5">
      <c r="N484" s="3">
        <v>40138</v>
      </c>
      <c r="O484" t="s">
        <v>120</v>
      </c>
      <c r="P484" s="7"/>
      <c r="Q484" s="7">
        <v>1086</v>
      </c>
      <c r="R484" s="7">
        <f t="shared" si="107"/>
        <v>4120</v>
      </c>
      <c r="S484" s="11" t="s">
        <v>136</v>
      </c>
      <c r="T484" s="7">
        <f t="shared" si="108"/>
        <v>412</v>
      </c>
      <c r="V484" s="3">
        <v>40301</v>
      </c>
      <c r="W484" t="s">
        <v>429</v>
      </c>
      <c r="X484" s="7"/>
      <c r="Y484" s="7">
        <v>105</v>
      </c>
      <c r="Z484" s="6">
        <f t="shared" si="105"/>
        <v>25148</v>
      </c>
      <c r="AA484" s="11" t="s">
        <v>10</v>
      </c>
      <c r="AB484" s="7">
        <f t="shared" si="106"/>
        <v>867.1724137931035</v>
      </c>
    </row>
    <row r="485" spans="14:28" ht="13.5">
      <c r="N485" s="3">
        <v>40138</v>
      </c>
      <c r="O485" t="s">
        <v>101</v>
      </c>
      <c r="P485" s="7"/>
      <c r="Q485" s="7">
        <v>120</v>
      </c>
      <c r="R485" s="7">
        <f t="shared" si="107"/>
        <v>4000</v>
      </c>
      <c r="S485" s="11" t="s">
        <v>136</v>
      </c>
      <c r="T485" s="7">
        <f t="shared" si="108"/>
        <v>400</v>
      </c>
      <c r="V485" s="3">
        <v>40302</v>
      </c>
      <c r="W485" t="s">
        <v>777</v>
      </c>
      <c r="X485" s="7"/>
      <c r="Y485" s="7">
        <v>2595</v>
      </c>
      <c r="Z485" s="6">
        <f t="shared" si="105"/>
        <v>22553</v>
      </c>
      <c r="AA485" s="11" t="s">
        <v>10</v>
      </c>
      <c r="AB485" s="7">
        <f t="shared" si="106"/>
        <v>805.4642857142857</v>
      </c>
    </row>
    <row r="486" spans="14:28" ht="13.5">
      <c r="N486" s="3">
        <v>40138</v>
      </c>
      <c r="O486" t="s">
        <v>89</v>
      </c>
      <c r="P486" s="7"/>
      <c r="Q486" s="7">
        <v>105</v>
      </c>
      <c r="R486" s="7">
        <f t="shared" si="107"/>
        <v>3895</v>
      </c>
      <c r="S486" s="11" t="s">
        <v>136</v>
      </c>
      <c r="T486" s="7">
        <f t="shared" si="108"/>
        <v>389.5</v>
      </c>
      <c r="V486" s="3">
        <v>40302</v>
      </c>
      <c r="X486" s="7"/>
      <c r="Y486" s="7"/>
      <c r="Z486" s="6">
        <f t="shared" si="105"/>
        <v>22553</v>
      </c>
      <c r="AB486" s="7">
        <f t="shared" si="106"/>
        <v>805.4642857142857</v>
      </c>
    </row>
    <row r="487" spans="14:28" ht="13.5">
      <c r="N487" s="3">
        <v>40138</v>
      </c>
      <c r="O487" t="s">
        <v>361</v>
      </c>
      <c r="P487" s="7"/>
      <c r="Q487" s="7">
        <v>105</v>
      </c>
      <c r="R487" s="7">
        <f t="shared" si="107"/>
        <v>3790</v>
      </c>
      <c r="S487" s="11" t="s">
        <v>136</v>
      </c>
      <c r="T487" s="7">
        <f t="shared" si="108"/>
        <v>379</v>
      </c>
      <c r="V487" s="3">
        <v>40302</v>
      </c>
      <c r="X487" s="7"/>
      <c r="Y487" s="7"/>
      <c r="Z487" s="6">
        <f t="shared" si="105"/>
        <v>22553</v>
      </c>
      <c r="AB487" s="7">
        <f t="shared" si="106"/>
        <v>805.4642857142857</v>
      </c>
    </row>
    <row r="488" spans="14:28" ht="13.5">
      <c r="N488" s="3">
        <v>40138</v>
      </c>
      <c r="O488" t="s">
        <v>126</v>
      </c>
      <c r="P488" s="7"/>
      <c r="Q488" s="7">
        <v>105</v>
      </c>
      <c r="R488" s="7">
        <f t="shared" si="107"/>
        <v>3685</v>
      </c>
      <c r="S488" s="11" t="s">
        <v>136</v>
      </c>
      <c r="T488" s="7">
        <f t="shared" si="108"/>
        <v>368.5</v>
      </c>
      <c r="V488" s="3">
        <v>40302</v>
      </c>
      <c r="X488" s="7"/>
      <c r="Y488" s="7"/>
      <c r="Z488" s="6">
        <f aca="true" t="shared" si="109" ref="Z488:Z499">+Z487+X488-Y488</f>
        <v>22553</v>
      </c>
      <c r="AB488" s="7">
        <f aca="true" t="shared" si="110" ref="AB488:AB499">+Z488/(40330-V488)</f>
        <v>805.4642857142857</v>
      </c>
    </row>
    <row r="489" spans="14:28" ht="13.5">
      <c r="N489" s="3">
        <v>40138</v>
      </c>
      <c r="O489" t="s">
        <v>225</v>
      </c>
      <c r="P489" s="7"/>
      <c r="Q489" s="7">
        <v>105</v>
      </c>
      <c r="R489" s="7">
        <f t="shared" si="107"/>
        <v>3580</v>
      </c>
      <c r="S489" s="11" t="s">
        <v>136</v>
      </c>
      <c r="T489" s="7">
        <f t="shared" si="108"/>
        <v>358</v>
      </c>
      <c r="V489" s="3">
        <v>40302</v>
      </c>
      <c r="X489" s="7"/>
      <c r="Y489" s="7"/>
      <c r="Z489" s="6">
        <f t="shared" si="109"/>
        <v>22553</v>
      </c>
      <c r="AB489" s="7">
        <f t="shared" si="110"/>
        <v>805.4642857142857</v>
      </c>
    </row>
    <row r="490" spans="14:28" ht="13.5">
      <c r="N490" s="3">
        <v>40138</v>
      </c>
      <c r="O490" t="s">
        <v>271</v>
      </c>
      <c r="P490" s="7"/>
      <c r="Q490" s="7">
        <v>105</v>
      </c>
      <c r="R490" s="7">
        <f t="shared" si="107"/>
        <v>3475</v>
      </c>
      <c r="S490" s="11" t="s">
        <v>136</v>
      </c>
      <c r="T490" s="7">
        <f t="shared" si="108"/>
        <v>347.5</v>
      </c>
      <c r="V490" s="3">
        <v>40302</v>
      </c>
      <c r="X490" s="7"/>
      <c r="Y490" s="7"/>
      <c r="Z490" s="6">
        <f t="shared" si="109"/>
        <v>22553</v>
      </c>
      <c r="AB490" s="7">
        <f t="shared" si="110"/>
        <v>805.4642857142857</v>
      </c>
    </row>
    <row r="491" spans="14:28" ht="13.5">
      <c r="N491" s="3">
        <v>40138</v>
      </c>
      <c r="O491" t="s">
        <v>362</v>
      </c>
      <c r="P491" s="7"/>
      <c r="Q491" s="7">
        <v>425</v>
      </c>
      <c r="R491" s="7">
        <f t="shared" si="107"/>
        <v>3050</v>
      </c>
      <c r="S491" s="11" t="s">
        <v>136</v>
      </c>
      <c r="T491" s="7">
        <f t="shared" si="108"/>
        <v>305</v>
      </c>
      <c r="V491" s="3">
        <v>40302</v>
      </c>
      <c r="X491" s="7"/>
      <c r="Y491" s="7"/>
      <c r="Z491" s="6">
        <f t="shared" si="109"/>
        <v>22553</v>
      </c>
      <c r="AB491" s="7">
        <f t="shared" si="110"/>
        <v>805.4642857142857</v>
      </c>
    </row>
    <row r="492" spans="14:28" ht="13.5">
      <c r="N492" s="3">
        <v>40140</v>
      </c>
      <c r="O492" t="s">
        <v>271</v>
      </c>
      <c r="P492" s="7"/>
      <c r="Q492" s="7">
        <v>200</v>
      </c>
      <c r="R492" s="7">
        <f t="shared" si="107"/>
        <v>2850</v>
      </c>
      <c r="S492" s="11" t="s">
        <v>136</v>
      </c>
      <c r="T492" s="7">
        <f t="shared" si="108"/>
        <v>356.25</v>
      </c>
      <c r="V492" s="3">
        <v>40302</v>
      </c>
      <c r="X492" s="7"/>
      <c r="Y492" s="7"/>
      <c r="Z492" s="6">
        <f t="shared" si="109"/>
        <v>22553</v>
      </c>
      <c r="AB492" s="7">
        <f t="shared" si="110"/>
        <v>805.4642857142857</v>
      </c>
    </row>
    <row r="493" spans="14:28" ht="13.5">
      <c r="N493" s="3">
        <v>40140</v>
      </c>
      <c r="O493" t="s">
        <v>363</v>
      </c>
      <c r="P493" s="7"/>
      <c r="Q493" s="7">
        <v>100</v>
      </c>
      <c r="R493" s="7">
        <f t="shared" si="107"/>
        <v>2750</v>
      </c>
      <c r="S493" s="11" t="s">
        <v>136</v>
      </c>
      <c r="T493" s="7">
        <f t="shared" si="108"/>
        <v>343.75</v>
      </c>
      <c r="V493" s="3">
        <v>40301</v>
      </c>
      <c r="X493" s="7"/>
      <c r="Y493" s="7"/>
      <c r="Z493" s="6">
        <f t="shared" si="109"/>
        <v>22553</v>
      </c>
      <c r="AB493" s="7">
        <f t="shared" si="110"/>
        <v>777.6896551724138</v>
      </c>
    </row>
    <row r="494" spans="14:28" ht="13.5">
      <c r="N494" s="3">
        <v>40144</v>
      </c>
      <c r="O494" t="s">
        <v>271</v>
      </c>
      <c r="P494" s="7"/>
      <c r="Q494" s="7">
        <v>200</v>
      </c>
      <c r="R494" s="7">
        <f t="shared" si="107"/>
        <v>2550</v>
      </c>
      <c r="S494" s="11" t="s">
        <v>136</v>
      </c>
      <c r="T494" s="7">
        <f t="shared" si="108"/>
        <v>637.5</v>
      </c>
      <c r="V494" s="3">
        <v>40301</v>
      </c>
      <c r="X494" s="7"/>
      <c r="Y494" s="7"/>
      <c r="Z494" s="6">
        <f t="shared" si="109"/>
        <v>22553</v>
      </c>
      <c r="AB494" s="7">
        <f t="shared" si="110"/>
        <v>777.6896551724138</v>
      </c>
    </row>
    <row r="495" spans="14:28" ht="13.5">
      <c r="N495" s="3">
        <v>40144</v>
      </c>
      <c r="O495" t="s">
        <v>364</v>
      </c>
      <c r="P495" s="7"/>
      <c r="Q495" s="7">
        <v>600</v>
      </c>
      <c r="R495" s="7">
        <f t="shared" si="107"/>
        <v>1950</v>
      </c>
      <c r="S495" s="11" t="s">
        <v>136</v>
      </c>
      <c r="T495" s="7">
        <f t="shared" si="108"/>
        <v>487.5</v>
      </c>
      <c r="V495" s="3">
        <v>40301</v>
      </c>
      <c r="X495" s="7"/>
      <c r="Y495" s="7"/>
      <c r="Z495" s="6">
        <f t="shared" si="109"/>
        <v>22553</v>
      </c>
      <c r="AB495" s="7">
        <f t="shared" si="110"/>
        <v>777.6896551724138</v>
      </c>
    </row>
    <row r="496" spans="14:28" ht="13.5">
      <c r="N496" s="3">
        <v>40144</v>
      </c>
      <c r="O496" t="s">
        <v>193</v>
      </c>
      <c r="P496" s="7"/>
      <c r="Q496" s="7">
        <v>105</v>
      </c>
      <c r="R496" s="7">
        <f t="shared" si="107"/>
        <v>1845</v>
      </c>
      <c r="S496" s="11" t="s">
        <v>136</v>
      </c>
      <c r="T496" s="7">
        <f t="shared" si="108"/>
        <v>461.25</v>
      </c>
      <c r="V496" s="3">
        <v>40301</v>
      </c>
      <c r="X496" s="7"/>
      <c r="Y496" s="7"/>
      <c r="Z496" s="6">
        <f t="shared" si="109"/>
        <v>22553</v>
      </c>
      <c r="AB496" s="7">
        <f t="shared" si="110"/>
        <v>777.6896551724138</v>
      </c>
    </row>
    <row r="497" spans="14:28" ht="13.5">
      <c r="N497" s="3">
        <v>40144</v>
      </c>
      <c r="O497" t="s">
        <v>124</v>
      </c>
      <c r="P497" s="7"/>
      <c r="Q497" s="7">
        <v>105</v>
      </c>
      <c r="R497" s="7">
        <f t="shared" si="107"/>
        <v>1740</v>
      </c>
      <c r="S497" s="11" t="s">
        <v>136</v>
      </c>
      <c r="T497" s="7">
        <f t="shared" si="108"/>
        <v>435</v>
      </c>
      <c r="V497" s="3">
        <v>40301</v>
      </c>
      <c r="X497" s="7"/>
      <c r="Y497" s="7"/>
      <c r="Z497" s="6">
        <f t="shared" si="109"/>
        <v>22553</v>
      </c>
      <c r="AB497" s="7">
        <f t="shared" si="110"/>
        <v>777.6896551724138</v>
      </c>
    </row>
    <row r="498" spans="14:28" ht="13.5">
      <c r="N498" s="3">
        <v>40144</v>
      </c>
      <c r="O498" t="s">
        <v>365</v>
      </c>
      <c r="P498" s="7"/>
      <c r="Q498" s="7">
        <v>105</v>
      </c>
      <c r="R498" s="7">
        <f t="shared" si="107"/>
        <v>1635</v>
      </c>
      <c r="S498" s="11" t="s">
        <v>136</v>
      </c>
      <c r="T498" s="7">
        <f t="shared" si="108"/>
        <v>408.75</v>
      </c>
      <c r="V498" s="3">
        <v>40301</v>
      </c>
      <c r="X498" s="7"/>
      <c r="Y498" s="7"/>
      <c r="Z498" s="6">
        <f t="shared" si="109"/>
        <v>22553</v>
      </c>
      <c r="AB498" s="7">
        <f t="shared" si="110"/>
        <v>777.6896551724138</v>
      </c>
    </row>
    <row r="499" spans="14:28" ht="13.5">
      <c r="N499" s="3">
        <v>40144</v>
      </c>
      <c r="O499" t="s">
        <v>366</v>
      </c>
      <c r="P499" s="7"/>
      <c r="Q499" s="7">
        <v>105</v>
      </c>
      <c r="R499" s="7">
        <f t="shared" si="107"/>
        <v>1530</v>
      </c>
      <c r="S499" s="11" t="s">
        <v>136</v>
      </c>
      <c r="T499" s="7">
        <f t="shared" si="108"/>
        <v>382.5</v>
      </c>
      <c r="V499" s="3">
        <v>40301</v>
      </c>
      <c r="X499" s="7"/>
      <c r="Y499" s="7"/>
      <c r="Z499" s="6">
        <f t="shared" si="109"/>
        <v>22553</v>
      </c>
      <c r="AB499" s="7">
        <f t="shared" si="110"/>
        <v>777.6896551724138</v>
      </c>
    </row>
    <row r="500" spans="14:20" ht="13.5">
      <c r="N500" s="3">
        <v>40144</v>
      </c>
      <c r="O500" t="s">
        <v>282</v>
      </c>
      <c r="P500" s="7"/>
      <c r="Q500" s="7">
        <v>68</v>
      </c>
      <c r="R500" s="7">
        <f t="shared" si="107"/>
        <v>1462</v>
      </c>
      <c r="S500" s="11" t="s">
        <v>136</v>
      </c>
      <c r="T500" s="7">
        <f t="shared" si="108"/>
        <v>365.5</v>
      </c>
    </row>
    <row r="501" spans="14:20" ht="13.5">
      <c r="N501" s="3">
        <v>40144</v>
      </c>
      <c r="O501" t="s">
        <v>367</v>
      </c>
      <c r="P501" s="7"/>
      <c r="Q501" s="7">
        <v>105</v>
      </c>
      <c r="R501" s="7">
        <f t="shared" si="107"/>
        <v>1357</v>
      </c>
      <c r="S501" s="11" t="s">
        <v>136</v>
      </c>
      <c r="T501" s="7">
        <f t="shared" si="108"/>
        <v>339.25</v>
      </c>
    </row>
    <row r="502" spans="14:20" ht="13.5">
      <c r="N502" s="3">
        <v>40144</v>
      </c>
      <c r="O502" t="s">
        <v>368</v>
      </c>
      <c r="P502" s="7"/>
      <c r="Q502" s="7">
        <v>498</v>
      </c>
      <c r="R502" s="7">
        <f t="shared" si="107"/>
        <v>859</v>
      </c>
      <c r="S502" s="11" t="s">
        <v>136</v>
      </c>
      <c r="T502" s="7">
        <f t="shared" si="108"/>
        <v>214.75</v>
      </c>
    </row>
    <row r="503" spans="14:20" ht="13.5">
      <c r="N503" s="3">
        <v>40147</v>
      </c>
      <c r="O503" t="s">
        <v>369</v>
      </c>
      <c r="P503" s="16">
        <v>1086</v>
      </c>
      <c r="Q503" s="16">
        <v>1086</v>
      </c>
      <c r="R503" s="7">
        <f t="shared" si="107"/>
        <v>859</v>
      </c>
      <c r="S503" s="11" t="s">
        <v>136</v>
      </c>
      <c r="T503" s="7">
        <f t="shared" si="108"/>
        <v>859</v>
      </c>
    </row>
    <row r="504" spans="14:20" ht="13.5">
      <c r="N504" s="3">
        <v>40147</v>
      </c>
      <c r="O504" t="s">
        <v>129</v>
      </c>
      <c r="P504" s="7"/>
      <c r="Q504" s="7">
        <v>198</v>
      </c>
      <c r="R504" s="7">
        <f t="shared" si="107"/>
        <v>661</v>
      </c>
      <c r="S504" s="11" t="s">
        <v>136</v>
      </c>
      <c r="T504" s="7">
        <f t="shared" si="108"/>
        <v>661</v>
      </c>
    </row>
    <row r="505" spans="14:20" ht="13.5">
      <c r="N505" s="3">
        <v>40147</v>
      </c>
      <c r="O505" t="s">
        <v>193</v>
      </c>
      <c r="P505" s="7"/>
      <c r="Q505" s="7">
        <v>83</v>
      </c>
      <c r="R505" s="7">
        <f t="shared" si="107"/>
        <v>578</v>
      </c>
      <c r="S505" s="11" t="s">
        <v>136</v>
      </c>
      <c r="T505" s="7">
        <f t="shared" si="108"/>
        <v>578</v>
      </c>
    </row>
    <row r="506" spans="14:20" ht="13.5">
      <c r="N506" s="3">
        <v>40147</v>
      </c>
      <c r="O506" t="s">
        <v>279</v>
      </c>
      <c r="P506" s="7"/>
      <c r="Q506" s="7">
        <f>105*2</f>
        <v>210</v>
      </c>
      <c r="R506" s="7">
        <f t="shared" si="107"/>
        <v>368</v>
      </c>
      <c r="S506" s="11" t="s">
        <v>136</v>
      </c>
      <c r="T506" s="7">
        <f t="shared" si="108"/>
        <v>368</v>
      </c>
    </row>
    <row r="507" spans="14:20" ht="13.5">
      <c r="N507" s="3">
        <v>40147</v>
      </c>
      <c r="O507" t="s">
        <v>370</v>
      </c>
      <c r="P507" s="7"/>
      <c r="Q507" s="7">
        <v>200</v>
      </c>
      <c r="R507" s="7">
        <f t="shared" si="107"/>
        <v>168</v>
      </c>
      <c r="S507" s="11" t="s">
        <v>136</v>
      </c>
      <c r="T507" s="7">
        <f t="shared" si="108"/>
        <v>168</v>
      </c>
    </row>
    <row r="508" spans="14:20" ht="13.5">
      <c r="N508" s="3">
        <v>40147</v>
      </c>
      <c r="O508" t="s">
        <v>40</v>
      </c>
      <c r="P508" s="7"/>
      <c r="Q508" s="7">
        <v>120</v>
      </c>
      <c r="R508" s="7">
        <f t="shared" si="107"/>
        <v>48</v>
      </c>
      <c r="S508" s="11" t="s">
        <v>136</v>
      </c>
      <c r="T508" s="7">
        <f t="shared" si="108"/>
        <v>48</v>
      </c>
    </row>
    <row r="509" spans="14:20" ht="13.5">
      <c r="N509" s="3">
        <v>40148</v>
      </c>
      <c r="O509" t="s">
        <v>29</v>
      </c>
      <c r="P509" s="7">
        <v>56000</v>
      </c>
      <c r="Q509" s="7">
        <v>11920</v>
      </c>
      <c r="R509" s="7">
        <f t="shared" si="107"/>
        <v>44128</v>
      </c>
      <c r="S509" s="11" t="s">
        <v>136</v>
      </c>
      <c r="T509" s="7">
        <f>+R509/(40179-N509)</f>
        <v>1423.483870967742</v>
      </c>
    </row>
    <row r="510" spans="14:20" ht="13.5">
      <c r="N510" s="3">
        <v>40148</v>
      </c>
      <c r="O510" t="s">
        <v>273</v>
      </c>
      <c r="P510" s="7"/>
      <c r="Q510" s="7">
        <v>430</v>
      </c>
      <c r="R510" s="7">
        <f t="shared" si="107"/>
        <v>43698</v>
      </c>
      <c r="S510" s="11" t="s">
        <v>136</v>
      </c>
      <c r="T510" s="7">
        <f>+R510/(40179-N510)</f>
        <v>1409.6129032258063</v>
      </c>
    </row>
    <row r="511" spans="14:20" ht="13.5">
      <c r="N511" s="3">
        <v>40148</v>
      </c>
      <c r="O511" t="s">
        <v>371</v>
      </c>
      <c r="P511" s="7"/>
      <c r="Q511" s="7">
        <v>105</v>
      </c>
      <c r="R511" s="7">
        <f t="shared" si="107"/>
        <v>43593</v>
      </c>
      <c r="S511" s="11" t="s">
        <v>136</v>
      </c>
      <c r="T511" s="7">
        <f aca="true" t="shared" si="111" ref="T511:T524">+R511/(40179-N511)</f>
        <v>1406.225806451613</v>
      </c>
    </row>
    <row r="512" spans="14:20" ht="13.5">
      <c r="N512" s="3">
        <v>40148</v>
      </c>
      <c r="O512" t="s">
        <v>372</v>
      </c>
      <c r="P512" s="7"/>
      <c r="Q512" s="7">
        <f>105*3</f>
        <v>315</v>
      </c>
      <c r="R512" s="7">
        <f t="shared" si="107"/>
        <v>43278</v>
      </c>
      <c r="S512" s="11" t="s">
        <v>136</v>
      </c>
      <c r="T512" s="7">
        <f t="shared" si="111"/>
        <v>1396.0645161290322</v>
      </c>
    </row>
    <row r="513" spans="14:20" ht="13.5">
      <c r="N513" s="3">
        <v>40148</v>
      </c>
      <c r="O513" t="s">
        <v>373</v>
      </c>
      <c r="P513" s="7"/>
      <c r="Q513" s="7">
        <f>105*2</f>
        <v>210</v>
      </c>
      <c r="R513" s="7">
        <f t="shared" si="107"/>
        <v>43068</v>
      </c>
      <c r="S513" s="11" t="s">
        <v>136</v>
      </c>
      <c r="T513" s="7">
        <f t="shared" si="111"/>
        <v>1389.2903225806451</v>
      </c>
    </row>
    <row r="514" spans="14:20" ht="13.5">
      <c r="N514" s="3">
        <v>40148</v>
      </c>
      <c r="O514" t="s">
        <v>374</v>
      </c>
      <c r="P514" s="7"/>
      <c r="Q514" s="7">
        <f>105*2</f>
        <v>210</v>
      </c>
      <c r="R514" s="7">
        <f t="shared" si="107"/>
        <v>42858</v>
      </c>
      <c r="S514" s="11" t="s">
        <v>136</v>
      </c>
      <c r="T514" s="7">
        <f t="shared" si="111"/>
        <v>1382.516129032258</v>
      </c>
    </row>
    <row r="515" spans="14:20" ht="13.5">
      <c r="N515" s="3">
        <v>40148</v>
      </c>
      <c r="O515" t="s">
        <v>197</v>
      </c>
      <c r="P515" s="7"/>
      <c r="Q515" s="7">
        <v>105</v>
      </c>
      <c r="R515" s="7">
        <f t="shared" si="107"/>
        <v>42753</v>
      </c>
      <c r="S515" s="11" t="s">
        <v>136</v>
      </c>
      <c r="T515" s="7">
        <f t="shared" si="111"/>
        <v>1379.1290322580646</v>
      </c>
    </row>
    <row r="516" spans="14:20" ht="13.5">
      <c r="N516" s="3">
        <v>40148</v>
      </c>
      <c r="O516" t="s">
        <v>375</v>
      </c>
      <c r="P516" s="7"/>
      <c r="Q516" s="7">
        <v>105</v>
      </c>
      <c r="R516" s="7">
        <f t="shared" si="107"/>
        <v>42648</v>
      </c>
      <c r="S516" s="11" t="s">
        <v>136</v>
      </c>
      <c r="T516" s="7">
        <f t="shared" si="111"/>
        <v>1375.741935483871</v>
      </c>
    </row>
    <row r="517" spans="14:20" ht="13.5">
      <c r="N517" s="3">
        <v>40148</v>
      </c>
      <c r="O517" t="s">
        <v>376</v>
      </c>
      <c r="P517" s="7"/>
      <c r="Q517" s="7">
        <v>105</v>
      </c>
      <c r="R517" s="7">
        <f t="shared" si="107"/>
        <v>42543</v>
      </c>
      <c r="S517" s="11" t="s">
        <v>136</v>
      </c>
      <c r="T517" s="7">
        <f t="shared" si="111"/>
        <v>1372.3548387096773</v>
      </c>
    </row>
    <row r="518" spans="14:20" ht="13.5">
      <c r="N518" s="3">
        <v>40148</v>
      </c>
      <c r="O518" t="s">
        <v>377</v>
      </c>
      <c r="P518" s="7"/>
      <c r="Q518" s="7">
        <v>105</v>
      </c>
      <c r="R518" s="7">
        <f t="shared" si="107"/>
        <v>42438</v>
      </c>
      <c r="S518" s="11" t="s">
        <v>136</v>
      </c>
      <c r="T518" s="7">
        <f t="shared" si="111"/>
        <v>1368.967741935484</v>
      </c>
    </row>
    <row r="519" spans="14:20" ht="13.5">
      <c r="N519" s="3">
        <v>40148</v>
      </c>
      <c r="O519" t="s">
        <v>378</v>
      </c>
      <c r="P519" s="7"/>
      <c r="Q519" s="7">
        <f>105*3</f>
        <v>315</v>
      </c>
      <c r="R519" s="7">
        <f t="shared" si="107"/>
        <v>42123</v>
      </c>
      <c r="S519" s="11" t="s">
        <v>136</v>
      </c>
      <c r="T519" s="7">
        <f t="shared" si="111"/>
        <v>1358.8064516129032</v>
      </c>
    </row>
    <row r="520" spans="14:20" ht="13.5">
      <c r="N520" s="3">
        <v>40148</v>
      </c>
      <c r="O520" t="s">
        <v>379</v>
      </c>
      <c r="P520" s="7"/>
      <c r="Q520" s="7">
        <v>105</v>
      </c>
      <c r="R520" s="7">
        <f t="shared" si="107"/>
        <v>42018</v>
      </c>
      <c r="S520" s="11" t="s">
        <v>136</v>
      </c>
      <c r="T520" s="7">
        <f t="shared" si="111"/>
        <v>1355.4193548387098</v>
      </c>
    </row>
    <row r="521" spans="14:20" ht="13.5">
      <c r="N521" s="3">
        <v>40148</v>
      </c>
      <c r="O521" t="s">
        <v>380</v>
      </c>
      <c r="P521" s="7"/>
      <c r="Q521" s="7">
        <f>300*3+165</f>
        <v>1065</v>
      </c>
      <c r="R521" s="7">
        <f t="shared" si="107"/>
        <v>40953</v>
      </c>
      <c r="S521" s="11" t="s">
        <v>136</v>
      </c>
      <c r="T521" s="7">
        <f t="shared" si="111"/>
        <v>1321.0645161290322</v>
      </c>
    </row>
    <row r="522" spans="14:20" ht="13.5">
      <c r="N522" s="3">
        <v>40148</v>
      </c>
      <c r="O522" t="s">
        <v>40</v>
      </c>
      <c r="P522" s="7"/>
      <c r="Q522" s="7">
        <v>120</v>
      </c>
      <c r="R522" s="7">
        <f t="shared" si="107"/>
        <v>40833</v>
      </c>
      <c r="S522" s="11" t="s">
        <v>136</v>
      </c>
      <c r="T522" s="7">
        <f t="shared" si="111"/>
        <v>1317.1935483870968</v>
      </c>
    </row>
    <row r="523" spans="14:20" ht="13.5">
      <c r="N523" s="3">
        <v>40148</v>
      </c>
      <c r="O523" t="s">
        <v>397</v>
      </c>
      <c r="P523" s="7"/>
      <c r="Q523" s="7">
        <v>3345</v>
      </c>
      <c r="R523" s="7">
        <f t="shared" si="107"/>
        <v>37488</v>
      </c>
      <c r="S523" s="11" t="s">
        <v>136</v>
      </c>
      <c r="T523" s="7">
        <f t="shared" si="111"/>
        <v>1209.2903225806451</v>
      </c>
    </row>
    <row r="524" spans="14:20" ht="13.5">
      <c r="N524" s="3">
        <v>40148</v>
      </c>
      <c r="O524" t="s">
        <v>381</v>
      </c>
      <c r="P524" s="7"/>
      <c r="Q524" s="7">
        <v>1000</v>
      </c>
      <c r="R524" s="7">
        <f t="shared" si="107"/>
        <v>36488</v>
      </c>
      <c r="S524" s="11" t="s">
        <v>136</v>
      </c>
      <c r="T524" s="7">
        <f t="shared" si="111"/>
        <v>1177.032258064516</v>
      </c>
    </row>
    <row r="525" spans="14:20" ht="13.5">
      <c r="N525" s="3">
        <v>40148</v>
      </c>
      <c r="O525" t="s">
        <v>382</v>
      </c>
      <c r="P525" s="7">
        <f>12919+1920+1006</f>
        <v>15845</v>
      </c>
      <c r="Q525" s="7"/>
      <c r="R525" s="7">
        <f>+R524+P525-Q525</f>
        <v>52333</v>
      </c>
      <c r="S525" s="11" t="s">
        <v>136</v>
      </c>
      <c r="T525" s="7">
        <f>+R525/(40179-N525)</f>
        <v>1688.1612903225807</v>
      </c>
    </row>
    <row r="526" spans="14:20" ht="13.5">
      <c r="N526" s="3">
        <v>40149</v>
      </c>
      <c r="O526" t="s">
        <v>383</v>
      </c>
      <c r="Q526" s="7">
        <v>105</v>
      </c>
      <c r="R526" s="7">
        <f>+R525+P526-Q526</f>
        <v>52228</v>
      </c>
      <c r="S526" s="11" t="s">
        <v>136</v>
      </c>
      <c r="T526" s="7">
        <f>+R526/(40179-N526)</f>
        <v>1740.9333333333334</v>
      </c>
    </row>
    <row r="527" spans="14:20" ht="13.5">
      <c r="N527" s="3">
        <v>40149</v>
      </c>
      <c r="O527" t="s">
        <v>384</v>
      </c>
      <c r="Q527" s="7">
        <f>105*2</f>
        <v>210</v>
      </c>
      <c r="R527" s="7">
        <f>+R526+P527-Q527</f>
        <v>52018</v>
      </c>
      <c r="S527" s="11" t="s">
        <v>136</v>
      </c>
      <c r="T527" s="7">
        <f>+R527/(40179-N527)</f>
        <v>1733.9333333333334</v>
      </c>
    </row>
    <row r="528" spans="14:20" ht="13.5">
      <c r="N528" s="3">
        <v>40149</v>
      </c>
      <c r="O528" t="s">
        <v>80</v>
      </c>
      <c r="Q528" s="7">
        <v>105</v>
      </c>
      <c r="R528" s="7">
        <f>+R527+P528-Q528</f>
        <v>51913</v>
      </c>
      <c r="S528" s="11" t="s">
        <v>136</v>
      </c>
      <c r="T528" s="7">
        <f>+R528/(40179-N528)</f>
        <v>1730.4333333333334</v>
      </c>
    </row>
    <row r="529" spans="14:20" ht="13.5">
      <c r="N529" s="3">
        <v>40149</v>
      </c>
      <c r="O529" t="s">
        <v>385</v>
      </c>
      <c r="Q529" s="7">
        <v>219</v>
      </c>
      <c r="R529" s="7">
        <f aca="true" t="shared" si="112" ref="R529:R555">+R528+P529-Q529</f>
        <v>51694</v>
      </c>
      <c r="S529" s="11" t="s">
        <v>136</v>
      </c>
      <c r="T529" s="7">
        <f aca="true" t="shared" si="113" ref="T529:T555">+R529/(40179-N529)</f>
        <v>1723.1333333333334</v>
      </c>
    </row>
    <row r="530" spans="14:20" ht="13.5">
      <c r="N530" s="3">
        <v>40149</v>
      </c>
      <c r="O530" t="s">
        <v>386</v>
      </c>
      <c r="Q530" s="7">
        <v>105</v>
      </c>
      <c r="R530" s="7">
        <f t="shared" si="112"/>
        <v>51589</v>
      </c>
      <c r="S530" s="11" t="s">
        <v>136</v>
      </c>
      <c r="T530" s="7">
        <f t="shared" si="113"/>
        <v>1719.6333333333334</v>
      </c>
    </row>
    <row r="531" spans="14:20" ht="13.5">
      <c r="N531" s="3">
        <v>40149</v>
      </c>
      <c r="O531" t="s">
        <v>387</v>
      </c>
      <c r="Q531" s="7">
        <v>105</v>
      </c>
      <c r="R531" s="7">
        <f t="shared" si="112"/>
        <v>51484</v>
      </c>
      <c r="S531" s="11" t="s">
        <v>136</v>
      </c>
      <c r="T531" s="7">
        <f t="shared" si="113"/>
        <v>1716.1333333333334</v>
      </c>
    </row>
    <row r="532" spans="14:20" ht="13.5">
      <c r="N532" s="3">
        <v>40149</v>
      </c>
      <c r="O532" t="s">
        <v>388</v>
      </c>
      <c r="Q532" s="7">
        <v>105</v>
      </c>
      <c r="R532" s="7">
        <f t="shared" si="112"/>
        <v>51379</v>
      </c>
      <c r="S532" s="11" t="s">
        <v>136</v>
      </c>
      <c r="T532" s="7">
        <f t="shared" si="113"/>
        <v>1712.6333333333334</v>
      </c>
    </row>
    <row r="533" spans="14:20" ht="13.5">
      <c r="N533" s="3">
        <v>40149</v>
      </c>
      <c r="O533" t="s">
        <v>389</v>
      </c>
      <c r="Q533" s="7">
        <f>105*2</f>
        <v>210</v>
      </c>
      <c r="R533" s="7">
        <f t="shared" si="112"/>
        <v>51169</v>
      </c>
      <c r="S533" s="11" t="s">
        <v>136</v>
      </c>
      <c r="T533" s="7">
        <f t="shared" si="113"/>
        <v>1705.6333333333334</v>
      </c>
    </row>
    <row r="534" spans="14:20" ht="13.5">
      <c r="N534" s="3">
        <v>40149</v>
      </c>
      <c r="O534" t="s">
        <v>390</v>
      </c>
      <c r="Q534" s="7">
        <f>105*5</f>
        <v>525</v>
      </c>
      <c r="R534" s="7">
        <f t="shared" si="112"/>
        <v>50644</v>
      </c>
      <c r="S534" s="11" t="s">
        <v>136</v>
      </c>
      <c r="T534" s="7">
        <f t="shared" si="113"/>
        <v>1688.1333333333334</v>
      </c>
    </row>
    <row r="535" spans="14:20" ht="13.5">
      <c r="N535" s="3">
        <v>40149</v>
      </c>
      <c r="O535" t="s">
        <v>391</v>
      </c>
      <c r="Q535" s="7">
        <v>105</v>
      </c>
      <c r="R535" s="7">
        <f t="shared" si="112"/>
        <v>50539</v>
      </c>
      <c r="S535" s="11" t="s">
        <v>136</v>
      </c>
      <c r="T535" s="7">
        <f t="shared" si="113"/>
        <v>1684.6333333333334</v>
      </c>
    </row>
    <row r="536" spans="14:20" ht="13.5">
      <c r="N536" s="3">
        <v>40149</v>
      </c>
      <c r="O536" t="s">
        <v>101</v>
      </c>
      <c r="Q536" s="7">
        <v>120</v>
      </c>
      <c r="R536" s="7">
        <f t="shared" si="112"/>
        <v>50419</v>
      </c>
      <c r="S536" s="11" t="s">
        <v>136</v>
      </c>
      <c r="T536" s="7">
        <f t="shared" si="113"/>
        <v>1680.6333333333334</v>
      </c>
    </row>
    <row r="537" spans="14:20" ht="13.5">
      <c r="N537" s="3">
        <v>40149</v>
      </c>
      <c r="O537" t="s">
        <v>392</v>
      </c>
      <c r="Q537" s="7">
        <f>300*4</f>
        <v>1200</v>
      </c>
      <c r="R537" s="7">
        <f t="shared" si="112"/>
        <v>49219</v>
      </c>
      <c r="S537" s="11" t="s">
        <v>136</v>
      </c>
      <c r="T537" s="7">
        <f t="shared" si="113"/>
        <v>1640.6333333333334</v>
      </c>
    </row>
    <row r="538" spans="14:20" ht="13.5">
      <c r="N538" s="3">
        <v>40149</v>
      </c>
      <c r="O538" t="s">
        <v>394</v>
      </c>
      <c r="Q538" s="7">
        <f>882+1785+6732+360</f>
        <v>9759</v>
      </c>
      <c r="R538" s="7">
        <f t="shared" si="112"/>
        <v>39460</v>
      </c>
      <c r="S538" s="11" t="s">
        <v>136</v>
      </c>
      <c r="T538" s="7">
        <f t="shared" si="113"/>
        <v>1315.3333333333333</v>
      </c>
    </row>
    <row r="539" spans="14:20" ht="13.5">
      <c r="N539" s="3">
        <v>40149</v>
      </c>
      <c r="O539" t="s">
        <v>395</v>
      </c>
      <c r="Q539" s="7">
        <v>210</v>
      </c>
      <c r="R539" s="7">
        <f t="shared" si="112"/>
        <v>39250</v>
      </c>
      <c r="S539" s="11" t="s">
        <v>136</v>
      </c>
      <c r="T539" s="7">
        <f t="shared" si="113"/>
        <v>1308.3333333333333</v>
      </c>
    </row>
    <row r="540" spans="14:20" ht="13.5">
      <c r="N540" s="3">
        <v>40149</v>
      </c>
      <c r="O540" t="s">
        <v>396</v>
      </c>
      <c r="Q540" s="7">
        <v>4805</v>
      </c>
      <c r="R540" s="7">
        <f t="shared" si="112"/>
        <v>34445</v>
      </c>
      <c r="S540" s="11" t="s">
        <v>136</v>
      </c>
      <c r="T540" s="7">
        <f t="shared" si="113"/>
        <v>1148.1666666666667</v>
      </c>
    </row>
    <row r="541" spans="14:20" ht="13.5">
      <c r="N541" s="3">
        <v>40150</v>
      </c>
      <c r="O541" t="s">
        <v>189</v>
      </c>
      <c r="Q541" s="7">
        <v>3045</v>
      </c>
      <c r="R541" s="7">
        <f t="shared" si="112"/>
        <v>31400</v>
      </c>
      <c r="S541" s="11" t="s">
        <v>136</v>
      </c>
      <c r="T541" s="7">
        <f t="shared" si="113"/>
        <v>1082.7586206896551</v>
      </c>
    </row>
    <row r="542" spans="14:20" ht="13.5">
      <c r="N542" s="3">
        <v>40151</v>
      </c>
      <c r="O542" t="s">
        <v>398</v>
      </c>
      <c r="Q542" s="7">
        <v>6180</v>
      </c>
      <c r="R542" s="7">
        <f t="shared" si="112"/>
        <v>25220</v>
      </c>
      <c r="S542" s="11" t="s">
        <v>136</v>
      </c>
      <c r="T542" s="7">
        <f t="shared" si="113"/>
        <v>900.7142857142857</v>
      </c>
    </row>
    <row r="543" spans="14:20" ht="13.5">
      <c r="N543" s="3">
        <v>40151</v>
      </c>
      <c r="O543" t="s">
        <v>399</v>
      </c>
      <c r="Q543" s="7">
        <v>198</v>
      </c>
      <c r="R543" s="7">
        <f t="shared" si="112"/>
        <v>25022</v>
      </c>
      <c r="S543" s="11" t="s">
        <v>136</v>
      </c>
      <c r="T543" s="7">
        <f t="shared" si="113"/>
        <v>893.6428571428571</v>
      </c>
    </row>
    <row r="544" spans="14:20" ht="13.5">
      <c r="N544" s="3">
        <v>40151</v>
      </c>
      <c r="O544" t="s">
        <v>369</v>
      </c>
      <c r="Q544" s="7">
        <v>996</v>
      </c>
      <c r="R544" s="7">
        <f t="shared" si="112"/>
        <v>24026</v>
      </c>
      <c r="S544" s="11" t="s">
        <v>136</v>
      </c>
      <c r="T544" s="7">
        <f t="shared" si="113"/>
        <v>858.0714285714286</v>
      </c>
    </row>
    <row r="545" spans="14:20" ht="13.5">
      <c r="N545" s="3">
        <v>40151</v>
      </c>
      <c r="O545" t="s">
        <v>400</v>
      </c>
      <c r="Q545" s="7">
        <v>465</v>
      </c>
      <c r="R545" s="7">
        <f t="shared" si="112"/>
        <v>23561</v>
      </c>
      <c r="S545" s="11" t="s">
        <v>136</v>
      </c>
      <c r="T545" s="7">
        <f t="shared" si="113"/>
        <v>841.4642857142857</v>
      </c>
    </row>
    <row r="546" spans="14:20" ht="13.5">
      <c r="N546" s="3">
        <v>40151</v>
      </c>
      <c r="O546" t="s">
        <v>166</v>
      </c>
      <c r="Q546" s="7">
        <v>800</v>
      </c>
      <c r="R546" s="7">
        <f t="shared" si="112"/>
        <v>22761</v>
      </c>
      <c r="S546" s="11" t="s">
        <v>136</v>
      </c>
      <c r="T546" s="7">
        <f t="shared" si="113"/>
        <v>812.8928571428571</v>
      </c>
    </row>
    <row r="547" spans="14:20" ht="13.5">
      <c r="N547" s="3">
        <v>40151</v>
      </c>
      <c r="O547" t="s">
        <v>49</v>
      </c>
      <c r="Q547" s="7">
        <v>387</v>
      </c>
      <c r="R547" s="7">
        <f t="shared" si="112"/>
        <v>22374</v>
      </c>
      <c r="S547" s="11" t="s">
        <v>136</v>
      </c>
      <c r="T547" s="7">
        <f t="shared" si="113"/>
        <v>799.0714285714286</v>
      </c>
    </row>
    <row r="548" spans="14:20" ht="13.5">
      <c r="N548" s="3">
        <v>40151</v>
      </c>
      <c r="O548" t="s">
        <v>401</v>
      </c>
      <c r="Q548" s="7">
        <f>775-205</f>
        <v>570</v>
      </c>
      <c r="R548" s="7">
        <f t="shared" si="112"/>
        <v>21804</v>
      </c>
      <c r="S548" s="11" t="s">
        <v>136</v>
      </c>
      <c r="T548" s="7">
        <f t="shared" si="113"/>
        <v>778.7142857142857</v>
      </c>
    </row>
    <row r="549" spans="14:20" ht="13.5">
      <c r="N549" s="3">
        <v>40151</v>
      </c>
      <c r="O549" t="s">
        <v>402</v>
      </c>
      <c r="Q549" s="7">
        <f>140*40</f>
        <v>5600</v>
      </c>
      <c r="R549" s="7">
        <f t="shared" si="112"/>
        <v>16204</v>
      </c>
      <c r="S549" s="11" t="s">
        <v>136</v>
      </c>
      <c r="T549" s="7">
        <f t="shared" si="113"/>
        <v>578.7142857142857</v>
      </c>
    </row>
    <row r="550" spans="14:20" ht="13.5">
      <c r="N550" s="3">
        <v>40151</v>
      </c>
      <c r="O550" t="s">
        <v>407</v>
      </c>
      <c r="Q550" s="16">
        <f>105+100</f>
        <v>205</v>
      </c>
      <c r="R550" s="7">
        <f t="shared" si="112"/>
        <v>15999</v>
      </c>
      <c r="S550" s="11" t="s">
        <v>136</v>
      </c>
      <c r="T550" s="7">
        <f t="shared" si="113"/>
        <v>571.3928571428571</v>
      </c>
    </row>
    <row r="551" spans="14:20" ht="13.5">
      <c r="N551" s="3">
        <v>40154</v>
      </c>
      <c r="O551" t="s">
        <v>408</v>
      </c>
      <c r="Q551" s="16">
        <f>1086+996</f>
        <v>2082</v>
      </c>
      <c r="R551" s="7">
        <f t="shared" si="112"/>
        <v>13917</v>
      </c>
      <c r="S551" s="11" t="s">
        <v>136</v>
      </c>
      <c r="T551" s="7">
        <f t="shared" si="113"/>
        <v>556.68</v>
      </c>
    </row>
    <row r="552" spans="14:20" ht="13.5">
      <c r="N552" s="3">
        <v>40154</v>
      </c>
      <c r="O552" t="s">
        <v>409</v>
      </c>
      <c r="Q552" s="7">
        <f>105*3</f>
        <v>315</v>
      </c>
      <c r="R552" s="7">
        <f t="shared" si="112"/>
        <v>13602</v>
      </c>
      <c r="S552" s="11" t="s">
        <v>136</v>
      </c>
      <c r="T552" s="7">
        <f t="shared" si="113"/>
        <v>544.08</v>
      </c>
    </row>
    <row r="553" spans="14:20" ht="13.5">
      <c r="N553" s="3">
        <v>40154</v>
      </c>
      <c r="O553" t="s">
        <v>410</v>
      </c>
      <c r="Q553" s="7">
        <f>1785-315-200</f>
        <v>1270</v>
      </c>
      <c r="R553" s="7">
        <f t="shared" si="112"/>
        <v>12332</v>
      </c>
      <c r="S553" s="11" t="s">
        <v>136</v>
      </c>
      <c r="T553" s="7">
        <f t="shared" si="113"/>
        <v>493.28</v>
      </c>
    </row>
    <row r="554" spans="14:20" ht="13.5">
      <c r="N554" s="3">
        <v>40154</v>
      </c>
      <c r="O554" t="s">
        <v>411</v>
      </c>
      <c r="Q554" s="7">
        <v>200</v>
      </c>
      <c r="R554" s="7">
        <f t="shared" si="112"/>
        <v>12132</v>
      </c>
      <c r="S554" s="11" t="s">
        <v>136</v>
      </c>
      <c r="T554" s="7">
        <f t="shared" si="113"/>
        <v>485.28</v>
      </c>
    </row>
    <row r="555" spans="14:20" ht="13.5">
      <c r="N555" s="3">
        <v>40155</v>
      </c>
      <c r="O555" t="s">
        <v>412</v>
      </c>
      <c r="Q555" s="7">
        <v>120</v>
      </c>
      <c r="R555" s="7">
        <f t="shared" si="112"/>
        <v>12012</v>
      </c>
      <c r="S555" s="11" t="s">
        <v>136</v>
      </c>
      <c r="T555" s="7">
        <f t="shared" si="113"/>
        <v>500.5</v>
      </c>
    </row>
    <row r="556" spans="14:20" ht="13.5">
      <c r="N556" s="3">
        <v>40156</v>
      </c>
      <c r="O556" t="s">
        <v>235</v>
      </c>
      <c r="Q556" s="7">
        <v>209</v>
      </c>
      <c r="R556" s="7">
        <f aca="true" t="shared" si="114" ref="R556:R562">+R555+P556-Q556</f>
        <v>11803</v>
      </c>
      <c r="S556" s="11" t="s">
        <v>136</v>
      </c>
      <c r="T556" s="7">
        <f aca="true" t="shared" si="115" ref="T556:T562">+R556/(40179-N556)</f>
        <v>513.1739130434783</v>
      </c>
    </row>
    <row r="557" spans="14:20" ht="13.5">
      <c r="N557" s="3">
        <v>40156</v>
      </c>
      <c r="O557" t="s">
        <v>89</v>
      </c>
      <c r="Q557" s="7">
        <v>105</v>
      </c>
      <c r="R557" s="7">
        <f t="shared" si="114"/>
        <v>11698</v>
      </c>
      <c r="S557" s="11" t="s">
        <v>136</v>
      </c>
      <c r="T557" s="7">
        <f t="shared" si="115"/>
        <v>508.60869565217394</v>
      </c>
    </row>
    <row r="558" spans="14:20" ht="13.5">
      <c r="N558" s="3">
        <v>40156</v>
      </c>
      <c r="O558" t="s">
        <v>413</v>
      </c>
      <c r="Q558" s="7">
        <f>105*3</f>
        <v>315</v>
      </c>
      <c r="R558" s="7">
        <f t="shared" si="114"/>
        <v>11383</v>
      </c>
      <c r="S558" s="11" t="s">
        <v>136</v>
      </c>
      <c r="T558" s="7">
        <f t="shared" si="115"/>
        <v>494.9130434782609</v>
      </c>
    </row>
    <row r="559" spans="14:20" ht="13.5">
      <c r="N559" s="3">
        <v>40156</v>
      </c>
      <c r="O559" t="s">
        <v>101</v>
      </c>
      <c r="Q559" s="7">
        <v>120</v>
      </c>
      <c r="R559" s="7">
        <f t="shared" si="114"/>
        <v>11263</v>
      </c>
      <c r="S559" s="11" t="s">
        <v>136</v>
      </c>
      <c r="T559" s="7">
        <f t="shared" si="115"/>
        <v>489.69565217391306</v>
      </c>
    </row>
    <row r="560" spans="14:20" ht="13.5">
      <c r="N560" s="3">
        <v>40158</v>
      </c>
      <c r="O560" t="s">
        <v>120</v>
      </c>
      <c r="Q560" s="7">
        <v>996</v>
      </c>
      <c r="R560" s="7">
        <f t="shared" si="114"/>
        <v>10267</v>
      </c>
      <c r="S560" s="11" t="s">
        <v>136</v>
      </c>
      <c r="T560" s="7">
        <f t="shared" si="115"/>
        <v>488.9047619047619</v>
      </c>
    </row>
    <row r="561" spans="14:20" ht="13.5">
      <c r="N561" s="3">
        <v>40158</v>
      </c>
      <c r="O561" t="s">
        <v>416</v>
      </c>
      <c r="Q561" s="7">
        <v>105</v>
      </c>
      <c r="R561" s="7">
        <f t="shared" si="114"/>
        <v>10162</v>
      </c>
      <c r="S561" s="11" t="s">
        <v>136</v>
      </c>
      <c r="T561" s="7">
        <f t="shared" si="115"/>
        <v>483.9047619047619</v>
      </c>
    </row>
    <row r="562" spans="14:20" ht="13.5">
      <c r="N562" s="3">
        <v>40158</v>
      </c>
      <c r="O562" t="s">
        <v>417</v>
      </c>
      <c r="Q562" s="7">
        <v>105</v>
      </c>
      <c r="R562" s="7">
        <f t="shared" si="114"/>
        <v>10057</v>
      </c>
      <c r="S562" s="11" t="s">
        <v>136</v>
      </c>
      <c r="T562" s="7">
        <f t="shared" si="115"/>
        <v>478.9047619047619</v>
      </c>
    </row>
    <row r="563" spans="14:20" ht="13.5">
      <c r="N563" s="3">
        <v>40158</v>
      </c>
      <c r="O563" t="s">
        <v>124</v>
      </c>
      <c r="Q563" s="7">
        <v>105</v>
      </c>
      <c r="R563" s="7">
        <f>+R562+P563-Q563</f>
        <v>9952</v>
      </c>
      <c r="S563" s="11" t="s">
        <v>136</v>
      </c>
      <c r="T563" s="7">
        <f>+R563/(40179-N563)</f>
        <v>473.9047619047619</v>
      </c>
    </row>
    <row r="564" spans="14:20" ht="13.5">
      <c r="N564" s="3">
        <v>40158</v>
      </c>
      <c r="O564" t="s">
        <v>365</v>
      </c>
      <c r="Q564" s="7">
        <v>105</v>
      </c>
      <c r="R564" s="7">
        <f>+R563+P564-Q564</f>
        <v>9847</v>
      </c>
      <c r="S564" s="11" t="s">
        <v>136</v>
      </c>
      <c r="T564" s="7">
        <f>+R564/(40179-N564)</f>
        <v>468.9047619047619</v>
      </c>
    </row>
    <row r="565" spans="14:20" ht="13.5">
      <c r="N565" s="3">
        <v>40158</v>
      </c>
      <c r="O565" t="s">
        <v>415</v>
      </c>
      <c r="Q565" s="7">
        <v>200</v>
      </c>
      <c r="R565" s="7">
        <f aca="true" t="shared" si="116" ref="R565:R586">+R564+P565-Q565</f>
        <v>9647</v>
      </c>
      <c r="S565" s="11" t="s">
        <v>136</v>
      </c>
      <c r="T565" s="7">
        <f aca="true" t="shared" si="117" ref="T565:T586">+R565/(40179-N565)</f>
        <v>459.3809523809524</v>
      </c>
    </row>
    <row r="566" spans="14:20" ht="13.5">
      <c r="N566" s="3">
        <v>40160</v>
      </c>
      <c r="O566" t="s">
        <v>699</v>
      </c>
      <c r="Q566" s="7">
        <v>8047</v>
      </c>
      <c r="R566" s="7">
        <f t="shared" si="116"/>
        <v>1600</v>
      </c>
      <c r="S566" s="11" t="s">
        <v>136</v>
      </c>
      <c r="T566" s="7">
        <f t="shared" si="117"/>
        <v>84.21052631578948</v>
      </c>
    </row>
    <row r="567" spans="14:20" ht="13.5">
      <c r="N567" s="3">
        <v>40161</v>
      </c>
      <c r="O567" t="s">
        <v>418</v>
      </c>
      <c r="Q567" s="7">
        <v>120</v>
      </c>
      <c r="R567" s="7">
        <f t="shared" si="116"/>
        <v>1480</v>
      </c>
      <c r="S567" s="11" t="s">
        <v>136</v>
      </c>
      <c r="T567" s="7">
        <f t="shared" si="117"/>
        <v>82.22222222222223</v>
      </c>
    </row>
    <row r="568" spans="14:20" ht="13.5">
      <c r="N568" s="3">
        <v>40161</v>
      </c>
      <c r="O568" t="s">
        <v>369</v>
      </c>
      <c r="Q568" s="7">
        <v>990</v>
      </c>
      <c r="R568" s="7">
        <f t="shared" si="116"/>
        <v>490</v>
      </c>
      <c r="S568" s="11" t="s">
        <v>136</v>
      </c>
      <c r="T568" s="7">
        <f t="shared" si="117"/>
        <v>27.22222222222222</v>
      </c>
    </row>
    <row r="569" spans="14:20" ht="13.5">
      <c r="N569" s="3">
        <v>40161</v>
      </c>
      <c r="O569" t="s">
        <v>419</v>
      </c>
      <c r="Q569" s="7">
        <v>315</v>
      </c>
      <c r="R569" s="7">
        <f t="shared" si="116"/>
        <v>175</v>
      </c>
      <c r="S569" s="11" t="s">
        <v>136</v>
      </c>
      <c r="T569" s="7">
        <f t="shared" si="117"/>
        <v>9.722222222222221</v>
      </c>
    </row>
    <row r="570" spans="14:20" ht="13.5">
      <c r="N570" s="3">
        <v>40161</v>
      </c>
      <c r="O570" t="s">
        <v>420</v>
      </c>
      <c r="Q570" s="7">
        <v>100</v>
      </c>
      <c r="R570" s="7">
        <f t="shared" si="116"/>
        <v>75</v>
      </c>
      <c r="S570" s="11" t="s">
        <v>136</v>
      </c>
      <c r="T570" s="7">
        <f t="shared" si="117"/>
        <v>4.166666666666667</v>
      </c>
    </row>
    <row r="571" spans="14:20" ht="13.5">
      <c r="N571" s="3">
        <v>40162</v>
      </c>
      <c r="O571" t="s">
        <v>21</v>
      </c>
      <c r="P571" s="7">
        <v>132000</v>
      </c>
      <c r="Q571" s="7"/>
      <c r="R571" s="7">
        <f t="shared" si="116"/>
        <v>132075</v>
      </c>
      <c r="S571" s="11" t="s">
        <v>136</v>
      </c>
      <c r="T571" s="7">
        <f t="shared" si="117"/>
        <v>7769.117647058823</v>
      </c>
    </row>
    <row r="572" spans="14:20" ht="13.5">
      <c r="N572" s="3">
        <v>40162</v>
      </c>
      <c r="O572" t="s">
        <v>414</v>
      </c>
      <c r="P572" s="7"/>
      <c r="Q572" s="7">
        <v>35000</v>
      </c>
      <c r="R572" s="7">
        <f t="shared" si="116"/>
        <v>97075</v>
      </c>
      <c r="S572" s="11" t="s">
        <v>136</v>
      </c>
      <c r="T572" s="7">
        <f t="shared" si="117"/>
        <v>5710.294117647059</v>
      </c>
    </row>
    <row r="573" spans="14:20" ht="13.5">
      <c r="N573" s="3">
        <v>40162</v>
      </c>
      <c r="O573" t="s">
        <v>295</v>
      </c>
      <c r="P573" s="7"/>
      <c r="Q573" s="7">
        <v>1050</v>
      </c>
      <c r="R573" s="7">
        <f t="shared" si="116"/>
        <v>96025</v>
      </c>
      <c r="S573" s="11" t="s">
        <v>136</v>
      </c>
      <c r="T573" s="7">
        <f t="shared" si="117"/>
        <v>5648.529411764706</v>
      </c>
    </row>
    <row r="574" spans="14:20" ht="13.5">
      <c r="N574" s="3">
        <v>40162</v>
      </c>
      <c r="O574" t="s">
        <v>26</v>
      </c>
      <c r="P574" s="7"/>
      <c r="Q574" s="7">
        <v>4410</v>
      </c>
      <c r="R574" s="7">
        <f t="shared" si="116"/>
        <v>91615</v>
      </c>
      <c r="S574" s="11" t="s">
        <v>136</v>
      </c>
      <c r="T574" s="7">
        <f t="shared" si="117"/>
        <v>5389.117647058823</v>
      </c>
    </row>
    <row r="575" spans="14:20" ht="13.5">
      <c r="N575" s="3">
        <v>40162</v>
      </c>
      <c r="O575" t="s">
        <v>27</v>
      </c>
      <c r="P575" s="7"/>
      <c r="Q575" s="7">
        <f>5126+5149+5126</f>
        <v>15401</v>
      </c>
      <c r="R575" s="7">
        <f t="shared" si="116"/>
        <v>76214</v>
      </c>
      <c r="S575" s="11" t="s">
        <v>136</v>
      </c>
      <c r="T575" s="7">
        <f t="shared" si="117"/>
        <v>4483.176470588235</v>
      </c>
    </row>
    <row r="576" spans="14:20" ht="13.5">
      <c r="N576" s="3">
        <v>40162</v>
      </c>
      <c r="O576" t="s">
        <v>421</v>
      </c>
      <c r="P576" s="7"/>
      <c r="Q576" s="7">
        <v>1000</v>
      </c>
      <c r="R576" s="7">
        <f t="shared" si="116"/>
        <v>75214</v>
      </c>
      <c r="S576" s="11" t="s">
        <v>136</v>
      </c>
      <c r="T576" s="7">
        <f t="shared" si="117"/>
        <v>4424.35294117647</v>
      </c>
    </row>
    <row r="577" spans="14:20" ht="13.5">
      <c r="N577" s="3">
        <v>40162</v>
      </c>
      <c r="O577" t="s">
        <v>422</v>
      </c>
      <c r="P577" s="7"/>
      <c r="Q577" s="7">
        <f>1175+120</f>
        <v>1295</v>
      </c>
      <c r="R577" s="7">
        <f t="shared" si="116"/>
        <v>73919</v>
      </c>
      <c r="S577" s="11" t="s">
        <v>136</v>
      </c>
      <c r="T577" s="7">
        <f t="shared" si="117"/>
        <v>4348.176470588235</v>
      </c>
    </row>
    <row r="578" spans="14:20" ht="13.5">
      <c r="N578" s="3">
        <v>40162</v>
      </c>
      <c r="O578" t="s">
        <v>24</v>
      </c>
      <c r="P578" s="7"/>
      <c r="Q578" s="7">
        <v>2656</v>
      </c>
      <c r="R578" s="7">
        <f t="shared" si="116"/>
        <v>71263</v>
      </c>
      <c r="S578" s="11" t="s">
        <v>136</v>
      </c>
      <c r="T578" s="7">
        <f t="shared" si="117"/>
        <v>4191.941176470588</v>
      </c>
    </row>
    <row r="579" spans="14:20" ht="13.5">
      <c r="N579" s="3">
        <v>40162</v>
      </c>
      <c r="O579" t="s">
        <v>423</v>
      </c>
      <c r="P579" s="7"/>
      <c r="Q579" s="7">
        <v>40</v>
      </c>
      <c r="R579" s="7">
        <f t="shared" si="116"/>
        <v>71223</v>
      </c>
      <c r="S579" s="11" t="s">
        <v>136</v>
      </c>
      <c r="T579" s="7">
        <f t="shared" si="117"/>
        <v>4189.588235294118</v>
      </c>
    </row>
    <row r="580" spans="14:20" ht="13.5">
      <c r="N580" s="3">
        <v>40162</v>
      </c>
      <c r="O580" t="s">
        <v>424</v>
      </c>
      <c r="P580" s="7"/>
      <c r="Q580" s="7">
        <v>3000</v>
      </c>
      <c r="R580" s="7">
        <f t="shared" si="116"/>
        <v>68223</v>
      </c>
      <c r="S580" s="11" t="s">
        <v>136</v>
      </c>
      <c r="T580" s="7">
        <f t="shared" si="117"/>
        <v>4013.1176470588234</v>
      </c>
    </row>
    <row r="581" spans="14:20" ht="13.5">
      <c r="N581" s="3">
        <v>40162</v>
      </c>
      <c r="O581" t="s">
        <v>310</v>
      </c>
      <c r="P581" s="7"/>
      <c r="Q581" s="7">
        <v>6378</v>
      </c>
      <c r="R581" s="7">
        <f t="shared" si="116"/>
        <v>61845</v>
      </c>
      <c r="S581" s="11" t="s">
        <v>136</v>
      </c>
      <c r="T581" s="7">
        <f t="shared" si="117"/>
        <v>3637.9411764705883</v>
      </c>
    </row>
    <row r="582" spans="14:20" ht="13.5">
      <c r="N582" s="3">
        <v>40162</v>
      </c>
      <c r="O582" t="s">
        <v>25</v>
      </c>
      <c r="P582" s="7"/>
      <c r="Q582" s="7">
        <f>5988+6814</f>
        <v>12802</v>
      </c>
      <c r="R582" s="7">
        <f t="shared" si="116"/>
        <v>49043</v>
      </c>
      <c r="S582" s="11" t="s">
        <v>136</v>
      </c>
      <c r="T582" s="7">
        <f t="shared" si="117"/>
        <v>2884.8823529411766</v>
      </c>
    </row>
    <row r="583" spans="14:20" ht="13.5">
      <c r="N583" s="3">
        <v>40162</v>
      </c>
      <c r="O583" t="s">
        <v>309</v>
      </c>
      <c r="P583" s="7"/>
      <c r="Q583" s="7">
        <v>3164</v>
      </c>
      <c r="R583" s="7">
        <f t="shared" si="116"/>
        <v>45879</v>
      </c>
      <c r="S583" s="11" t="s">
        <v>136</v>
      </c>
      <c r="T583" s="7">
        <f t="shared" si="117"/>
        <v>2698.764705882353</v>
      </c>
    </row>
    <row r="584" spans="14:20" ht="13.5">
      <c r="N584" s="3">
        <v>40162</v>
      </c>
      <c r="O584" t="s">
        <v>425</v>
      </c>
      <c r="P584" s="7"/>
      <c r="Q584" s="7">
        <v>1500</v>
      </c>
      <c r="R584" s="7">
        <f t="shared" si="116"/>
        <v>44379</v>
      </c>
      <c r="S584" s="11" t="s">
        <v>136</v>
      </c>
      <c r="T584" s="7">
        <f t="shared" si="117"/>
        <v>2610.529411764706</v>
      </c>
    </row>
    <row r="585" spans="14:20" ht="13.5">
      <c r="N585" s="3">
        <v>40162</v>
      </c>
      <c r="O585" t="s">
        <v>107</v>
      </c>
      <c r="P585" s="7"/>
      <c r="Q585" s="7">
        <v>350</v>
      </c>
      <c r="R585" s="7">
        <f t="shared" si="116"/>
        <v>44029</v>
      </c>
      <c r="S585" s="11" t="s">
        <v>426</v>
      </c>
      <c r="T585" s="7">
        <f t="shared" si="117"/>
        <v>2589.9411764705883</v>
      </c>
    </row>
    <row r="586" spans="14:20" ht="13.5">
      <c r="N586" s="3">
        <v>40162</v>
      </c>
      <c r="O586" s="11" t="s">
        <v>50</v>
      </c>
      <c r="P586" s="7"/>
      <c r="Q586" s="7">
        <f>2464-5</f>
        <v>2459</v>
      </c>
      <c r="R586" s="7">
        <f t="shared" si="116"/>
        <v>41570</v>
      </c>
      <c r="S586" s="23">
        <f>2464/(35000+1050+4410+15401+1000+1295+2656+40+3000+6378+12802+3164+1500+350)</f>
        <v>0.027985371283192877</v>
      </c>
      <c r="T586" s="7">
        <f t="shared" si="117"/>
        <v>2445.294117647059</v>
      </c>
    </row>
    <row r="587" spans="14:20" ht="13.5">
      <c r="N587" s="3">
        <v>40163</v>
      </c>
      <c r="O587" t="s">
        <v>40</v>
      </c>
      <c r="P587" s="7"/>
      <c r="Q587" s="7">
        <v>120</v>
      </c>
      <c r="R587" s="7">
        <f>+R586+P587-Q587</f>
        <v>41450</v>
      </c>
      <c r="S587" s="11" t="s">
        <v>136</v>
      </c>
      <c r="T587" s="7">
        <f>+R587/(40179-N587)</f>
        <v>2590.625</v>
      </c>
    </row>
    <row r="588" spans="14:20" ht="13.5">
      <c r="N588" s="3">
        <v>40163</v>
      </c>
      <c r="O588" t="s">
        <v>427</v>
      </c>
      <c r="P588" s="7"/>
      <c r="Q588" s="7">
        <v>4340</v>
      </c>
      <c r="R588" s="7">
        <f aca="true" t="shared" si="118" ref="R588:R602">+R587+P588-Q588</f>
        <v>37110</v>
      </c>
      <c r="S588" s="11" t="s">
        <v>136</v>
      </c>
      <c r="T588" s="7">
        <f aca="true" t="shared" si="119" ref="T588:T602">+R588/(40179-N588)</f>
        <v>2319.375</v>
      </c>
    </row>
    <row r="589" spans="14:20" ht="13.5">
      <c r="N589" s="3">
        <v>40163</v>
      </c>
      <c r="O589" t="s">
        <v>133</v>
      </c>
      <c r="P589" s="7"/>
      <c r="Q589" s="7">
        <v>2980</v>
      </c>
      <c r="R589" s="7">
        <f t="shared" si="118"/>
        <v>34130</v>
      </c>
      <c r="S589" s="11" t="s">
        <v>136</v>
      </c>
      <c r="T589" s="7">
        <f t="shared" si="119"/>
        <v>2133.125</v>
      </c>
    </row>
    <row r="590" spans="14:20" ht="13.5">
      <c r="N590" s="3">
        <v>40163</v>
      </c>
      <c r="O590" t="s">
        <v>428</v>
      </c>
      <c r="P590" s="7"/>
      <c r="Q590" s="7">
        <v>458</v>
      </c>
      <c r="R590" s="7">
        <f t="shared" si="118"/>
        <v>33672</v>
      </c>
      <c r="S590" s="11" t="s">
        <v>136</v>
      </c>
      <c r="T590" s="7">
        <f t="shared" si="119"/>
        <v>2104.5</v>
      </c>
    </row>
    <row r="591" spans="14:20" ht="13.5">
      <c r="N591" s="3">
        <v>40163</v>
      </c>
      <c r="O591" t="s">
        <v>418</v>
      </c>
      <c r="P591" s="7"/>
      <c r="Q591" s="7">
        <v>498</v>
      </c>
      <c r="R591" s="7">
        <f t="shared" si="118"/>
        <v>33174</v>
      </c>
      <c r="S591" s="11" t="s">
        <v>136</v>
      </c>
      <c r="T591" s="7">
        <f t="shared" si="119"/>
        <v>2073.375</v>
      </c>
    </row>
    <row r="592" spans="14:20" ht="13.5">
      <c r="N592" s="3">
        <v>40163</v>
      </c>
      <c r="O592" t="s">
        <v>429</v>
      </c>
      <c r="P592" s="7"/>
      <c r="Q592" s="7">
        <v>218</v>
      </c>
      <c r="R592" s="7">
        <f t="shared" si="118"/>
        <v>32956</v>
      </c>
      <c r="S592" s="11" t="s">
        <v>136</v>
      </c>
      <c r="T592" s="7">
        <f t="shared" si="119"/>
        <v>2059.75</v>
      </c>
    </row>
    <row r="593" spans="14:20" ht="13.5">
      <c r="N593" s="3">
        <v>40163</v>
      </c>
      <c r="O593" t="s">
        <v>430</v>
      </c>
      <c r="P593" s="7"/>
      <c r="Q593" s="7">
        <v>6</v>
      </c>
      <c r="R593" s="7">
        <f t="shared" si="118"/>
        <v>32950</v>
      </c>
      <c r="S593" s="11" t="s">
        <v>136</v>
      </c>
      <c r="T593" s="7">
        <f t="shared" si="119"/>
        <v>2059.375</v>
      </c>
    </row>
    <row r="594" spans="14:20" ht="13.5">
      <c r="N594" s="3">
        <v>40163</v>
      </c>
      <c r="O594" t="s">
        <v>431</v>
      </c>
      <c r="Q594" s="7">
        <v>272</v>
      </c>
      <c r="R594" s="7">
        <f t="shared" si="118"/>
        <v>32678</v>
      </c>
      <c r="S594" s="11" t="s">
        <v>136</v>
      </c>
      <c r="T594" s="7">
        <f t="shared" si="119"/>
        <v>2042.375</v>
      </c>
    </row>
    <row r="595" spans="14:20" ht="13.5">
      <c r="N595" s="3">
        <v>40163</v>
      </c>
      <c r="O595" t="s">
        <v>432</v>
      </c>
      <c r="Q595" s="7">
        <v>88</v>
      </c>
      <c r="R595" s="7">
        <f t="shared" si="118"/>
        <v>32590</v>
      </c>
      <c r="S595" s="11" t="s">
        <v>136</v>
      </c>
      <c r="T595" s="7">
        <f t="shared" si="119"/>
        <v>2036.875</v>
      </c>
    </row>
    <row r="596" spans="14:20" ht="13.5">
      <c r="N596" s="3">
        <v>40163</v>
      </c>
      <c r="O596" t="s">
        <v>126</v>
      </c>
      <c r="Q596" s="7">
        <v>138</v>
      </c>
      <c r="R596" s="7">
        <f t="shared" si="118"/>
        <v>32452</v>
      </c>
      <c r="S596" s="11" t="s">
        <v>136</v>
      </c>
      <c r="T596" s="7">
        <f t="shared" si="119"/>
        <v>2028.25</v>
      </c>
    </row>
    <row r="597" spans="14:20" ht="13.5">
      <c r="N597" s="3">
        <v>40163</v>
      </c>
      <c r="O597" t="s">
        <v>433</v>
      </c>
      <c r="Q597" s="7">
        <v>470</v>
      </c>
      <c r="R597" s="7">
        <f t="shared" si="118"/>
        <v>31982</v>
      </c>
      <c r="S597" s="11" t="s">
        <v>136</v>
      </c>
      <c r="T597" s="7">
        <f t="shared" si="119"/>
        <v>1998.875</v>
      </c>
    </row>
    <row r="598" spans="14:20" ht="13.5">
      <c r="N598" s="3">
        <v>40163</v>
      </c>
      <c r="O598" t="s">
        <v>434</v>
      </c>
      <c r="Q598" s="7">
        <f>120+105</f>
        <v>225</v>
      </c>
      <c r="R598" s="7">
        <f t="shared" si="118"/>
        <v>31757</v>
      </c>
      <c r="S598" s="11" t="s">
        <v>136</v>
      </c>
      <c r="T598" s="7">
        <f t="shared" si="119"/>
        <v>1984.8125</v>
      </c>
    </row>
    <row r="599" spans="14:20" ht="13.5">
      <c r="N599" s="3">
        <v>40163</v>
      </c>
      <c r="O599" t="s">
        <v>435</v>
      </c>
      <c r="Q599" s="7">
        <f>2775-210</f>
        <v>2565</v>
      </c>
      <c r="R599" s="7">
        <f t="shared" si="118"/>
        <v>29192</v>
      </c>
      <c r="S599" s="11" t="s">
        <v>136</v>
      </c>
      <c r="T599" s="7">
        <f t="shared" si="119"/>
        <v>1824.5</v>
      </c>
    </row>
    <row r="600" spans="14:20" ht="13.5">
      <c r="N600" s="3">
        <v>40163</v>
      </c>
      <c r="O600" t="s">
        <v>436</v>
      </c>
      <c r="Q600" s="7">
        <f>105*2</f>
        <v>210</v>
      </c>
      <c r="R600" s="7">
        <f t="shared" si="118"/>
        <v>28982</v>
      </c>
      <c r="S600" s="11" t="s">
        <v>136</v>
      </c>
      <c r="T600" s="7">
        <f t="shared" si="119"/>
        <v>1811.375</v>
      </c>
    </row>
    <row r="601" spans="14:20" ht="13.5">
      <c r="N601" s="3">
        <v>40163</v>
      </c>
      <c r="O601" t="s">
        <v>437</v>
      </c>
      <c r="Q601" s="7">
        <v>2490</v>
      </c>
      <c r="R601" s="7">
        <f t="shared" si="118"/>
        <v>26492</v>
      </c>
      <c r="S601" s="11" t="s">
        <v>136</v>
      </c>
      <c r="T601" s="7">
        <f t="shared" si="119"/>
        <v>1655.75</v>
      </c>
    </row>
    <row r="602" spans="14:20" ht="13.5">
      <c r="N602" s="3">
        <v>40164</v>
      </c>
      <c r="O602" t="s">
        <v>438</v>
      </c>
      <c r="Q602" s="7">
        <v>3894</v>
      </c>
      <c r="R602" s="7">
        <f t="shared" si="118"/>
        <v>22598</v>
      </c>
      <c r="S602" s="11" t="s">
        <v>136</v>
      </c>
      <c r="T602" s="7">
        <f t="shared" si="119"/>
        <v>1506.5333333333333</v>
      </c>
    </row>
    <row r="603" spans="14:20" ht="13.5">
      <c r="N603" s="3">
        <v>40165</v>
      </c>
      <c r="O603" t="s">
        <v>369</v>
      </c>
      <c r="Q603" s="7">
        <v>1084</v>
      </c>
      <c r="R603" s="7">
        <f>+R602+P603-Q603</f>
        <v>21514</v>
      </c>
      <c r="S603" s="11" t="s">
        <v>136</v>
      </c>
      <c r="T603" s="7">
        <f>+R603/(40179-N603)</f>
        <v>1536.7142857142858</v>
      </c>
    </row>
    <row r="604" spans="14:20" ht="13.5">
      <c r="N604" s="3">
        <v>40165</v>
      </c>
      <c r="O604" t="s">
        <v>439</v>
      </c>
      <c r="Q604" s="7">
        <v>500</v>
      </c>
      <c r="R604" s="7">
        <f>+R603+P604-Q604</f>
        <v>21014</v>
      </c>
      <c r="S604" s="11" t="s">
        <v>136</v>
      </c>
      <c r="T604" s="7">
        <f>+R604/(40179-N604)</f>
        <v>1501</v>
      </c>
    </row>
    <row r="605" spans="14:20" ht="13.5">
      <c r="N605" s="3">
        <v>40165</v>
      </c>
      <c r="O605" t="s">
        <v>440</v>
      </c>
      <c r="Q605" s="7">
        <v>7500</v>
      </c>
      <c r="R605" s="7">
        <f>+R604+P605-Q605</f>
        <v>13514</v>
      </c>
      <c r="S605" s="11" t="s">
        <v>136</v>
      </c>
      <c r="T605" s="7">
        <f>+R605/(40179-N605)</f>
        <v>965.2857142857143</v>
      </c>
    </row>
    <row r="606" spans="14:20" ht="13.5">
      <c r="N606" s="3">
        <v>40165</v>
      </c>
      <c r="O606" t="s">
        <v>65</v>
      </c>
      <c r="Q606" s="7">
        <f>5280-500</f>
        <v>4780</v>
      </c>
      <c r="R606" s="7">
        <f>+R605+P606-Q606</f>
        <v>8734</v>
      </c>
      <c r="S606" s="11" t="s">
        <v>136</v>
      </c>
      <c r="T606" s="7">
        <f>+R606/(40179-N606)</f>
        <v>623.8571428571429</v>
      </c>
    </row>
    <row r="607" spans="14:20" ht="13.5">
      <c r="N607" s="3">
        <v>40166</v>
      </c>
      <c r="O607" t="s">
        <v>50</v>
      </c>
      <c r="Q607" s="7">
        <v>-100</v>
      </c>
      <c r="R607" s="7">
        <f aca="true" t="shared" si="120" ref="R607:R618">+R606+P607-Q607</f>
        <v>8834</v>
      </c>
      <c r="S607" s="11" t="s">
        <v>136</v>
      </c>
      <c r="T607" s="7">
        <f aca="true" t="shared" si="121" ref="T607:T618">+R607/(40179-N607)</f>
        <v>679.5384615384615</v>
      </c>
    </row>
    <row r="608" spans="14:20" ht="13.5">
      <c r="N608" s="3">
        <v>40166</v>
      </c>
      <c r="O608" t="s">
        <v>441</v>
      </c>
      <c r="Q608" s="7">
        <v>298</v>
      </c>
      <c r="R608" s="7">
        <f t="shared" si="120"/>
        <v>8536</v>
      </c>
      <c r="S608" s="11" t="s">
        <v>136</v>
      </c>
      <c r="T608" s="7">
        <f t="shared" si="121"/>
        <v>656.6153846153846</v>
      </c>
    </row>
    <row r="609" spans="14:20" ht="13.5">
      <c r="N609" s="3">
        <v>40166</v>
      </c>
      <c r="O609" t="s">
        <v>442</v>
      </c>
      <c r="Q609" s="7">
        <v>298</v>
      </c>
      <c r="R609" s="7">
        <f t="shared" si="120"/>
        <v>8238</v>
      </c>
      <c r="S609" s="11" t="s">
        <v>136</v>
      </c>
      <c r="T609" s="7">
        <f t="shared" si="121"/>
        <v>633.6923076923077</v>
      </c>
    </row>
    <row r="610" spans="14:20" ht="13.5">
      <c r="N610" s="3">
        <v>40166</v>
      </c>
      <c r="O610" t="s">
        <v>443</v>
      </c>
      <c r="Q610" s="7">
        <v>200</v>
      </c>
      <c r="R610" s="7">
        <f t="shared" si="120"/>
        <v>8038</v>
      </c>
      <c r="S610" s="11" t="s">
        <v>136</v>
      </c>
      <c r="T610" s="7">
        <f t="shared" si="121"/>
        <v>618.3076923076923</v>
      </c>
    </row>
    <row r="611" spans="14:20" ht="13.5">
      <c r="N611" s="3">
        <v>40166</v>
      </c>
      <c r="O611" t="s">
        <v>444</v>
      </c>
      <c r="Q611" s="7">
        <v>258</v>
      </c>
      <c r="R611" s="7">
        <f t="shared" si="120"/>
        <v>7780</v>
      </c>
      <c r="S611" s="11" t="s">
        <v>136</v>
      </c>
      <c r="T611" s="7">
        <f t="shared" si="121"/>
        <v>598.4615384615385</v>
      </c>
    </row>
    <row r="612" spans="14:20" ht="13.5">
      <c r="N612" s="3">
        <v>40166</v>
      </c>
      <c r="O612" t="s">
        <v>445</v>
      </c>
      <c r="Q612" s="7">
        <v>98</v>
      </c>
      <c r="R612" s="7">
        <f t="shared" si="120"/>
        <v>7682</v>
      </c>
      <c r="S612" s="11" t="s">
        <v>136</v>
      </c>
      <c r="T612" s="7">
        <f t="shared" si="121"/>
        <v>590.9230769230769</v>
      </c>
    </row>
    <row r="613" spans="14:20" ht="13.5">
      <c r="N613" s="3">
        <v>40166</v>
      </c>
      <c r="O613" t="s">
        <v>446</v>
      </c>
      <c r="Q613" s="7">
        <v>298</v>
      </c>
      <c r="R613" s="7">
        <f t="shared" si="120"/>
        <v>7384</v>
      </c>
      <c r="S613" s="11" t="s">
        <v>136</v>
      </c>
      <c r="T613" s="7">
        <f t="shared" si="121"/>
        <v>568</v>
      </c>
    </row>
    <row r="614" spans="14:20" ht="13.5">
      <c r="N614" s="3">
        <v>40166</v>
      </c>
      <c r="O614" t="s">
        <v>125</v>
      </c>
      <c r="Q614" s="7">
        <v>178</v>
      </c>
      <c r="R614" s="7">
        <f t="shared" si="120"/>
        <v>7206</v>
      </c>
      <c r="S614" s="11" t="s">
        <v>136</v>
      </c>
      <c r="T614" s="7">
        <f t="shared" si="121"/>
        <v>554.3076923076923</v>
      </c>
    </row>
    <row r="615" spans="14:20" ht="13.5">
      <c r="N615" s="3">
        <v>40166</v>
      </c>
      <c r="O615" t="s">
        <v>447</v>
      </c>
      <c r="Q615" s="7">
        <v>178</v>
      </c>
      <c r="R615" s="7">
        <f t="shared" si="120"/>
        <v>7028</v>
      </c>
      <c r="S615" s="11" t="s">
        <v>136</v>
      </c>
      <c r="T615" s="7">
        <f t="shared" si="121"/>
        <v>540.6153846153846</v>
      </c>
    </row>
    <row r="616" spans="14:20" ht="13.5">
      <c r="N616" s="3">
        <v>40166</v>
      </c>
      <c r="O616" t="s">
        <v>448</v>
      </c>
      <c r="Q616" s="7">
        <f>196*2</f>
        <v>392</v>
      </c>
      <c r="R616" s="7">
        <f t="shared" si="120"/>
        <v>6636</v>
      </c>
      <c r="S616" s="11" t="s">
        <v>136</v>
      </c>
      <c r="T616" s="7">
        <f t="shared" si="121"/>
        <v>510.46153846153845</v>
      </c>
    </row>
    <row r="617" spans="14:20" ht="13.5">
      <c r="N617" s="3">
        <v>40166</v>
      </c>
      <c r="O617" t="s">
        <v>445</v>
      </c>
      <c r="Q617" s="7">
        <v>98</v>
      </c>
      <c r="R617" s="7">
        <f t="shared" si="120"/>
        <v>6538</v>
      </c>
      <c r="S617" s="11" t="s">
        <v>136</v>
      </c>
      <c r="T617" s="7">
        <f t="shared" si="121"/>
        <v>502.9230769230769</v>
      </c>
    </row>
    <row r="618" spans="14:20" ht="13.5">
      <c r="N618" s="3">
        <v>40166</v>
      </c>
      <c r="O618" t="s">
        <v>449</v>
      </c>
      <c r="Q618" s="7">
        <v>298</v>
      </c>
      <c r="R618" s="7">
        <f t="shared" si="120"/>
        <v>6240</v>
      </c>
      <c r="S618" s="11" t="s">
        <v>136</v>
      </c>
      <c r="T618" s="7">
        <f t="shared" si="121"/>
        <v>480</v>
      </c>
    </row>
    <row r="619" spans="14:20" ht="13.5">
      <c r="N619" s="3">
        <v>40166</v>
      </c>
      <c r="O619" t="s">
        <v>372</v>
      </c>
      <c r="Q619" s="7">
        <v>98</v>
      </c>
      <c r="R619" s="7">
        <f aca="true" t="shared" si="122" ref="R619:R629">+R618+P619-Q619</f>
        <v>6142</v>
      </c>
      <c r="S619" s="11" t="s">
        <v>136</v>
      </c>
      <c r="T619" s="7">
        <f aca="true" t="shared" si="123" ref="T619:T629">+R619/(40179-N619)</f>
        <v>472.46153846153845</v>
      </c>
    </row>
    <row r="620" spans="14:20" ht="13.5">
      <c r="N620" s="3">
        <v>40166</v>
      </c>
      <c r="O620" t="s">
        <v>450</v>
      </c>
      <c r="Q620" s="7">
        <v>298</v>
      </c>
      <c r="R620" s="7">
        <f t="shared" si="122"/>
        <v>5844</v>
      </c>
      <c r="S620" s="11" t="s">
        <v>136</v>
      </c>
      <c r="T620" s="7">
        <f t="shared" si="123"/>
        <v>449.53846153846155</v>
      </c>
    </row>
    <row r="621" spans="14:20" ht="13.5">
      <c r="N621" s="3">
        <v>40166</v>
      </c>
      <c r="O621" t="s">
        <v>451</v>
      </c>
      <c r="Q621" s="7">
        <v>348</v>
      </c>
      <c r="R621" s="7">
        <f t="shared" si="122"/>
        <v>5496</v>
      </c>
      <c r="S621" s="11" t="s">
        <v>136</v>
      </c>
      <c r="T621" s="7">
        <f t="shared" si="123"/>
        <v>422.7692307692308</v>
      </c>
    </row>
    <row r="622" spans="14:20" ht="13.5">
      <c r="N622" s="3">
        <v>40166</v>
      </c>
      <c r="O622" t="s">
        <v>124</v>
      </c>
      <c r="Q622" s="7">
        <v>118</v>
      </c>
      <c r="R622" s="7">
        <f t="shared" si="122"/>
        <v>5378</v>
      </c>
      <c r="S622" s="11" t="s">
        <v>136</v>
      </c>
      <c r="T622" s="7">
        <f t="shared" si="123"/>
        <v>413.6923076923077</v>
      </c>
    </row>
    <row r="623" spans="14:20" ht="13.5">
      <c r="N623" s="3">
        <v>40166</v>
      </c>
      <c r="O623" t="s">
        <v>452</v>
      </c>
      <c r="Q623" s="7">
        <v>298</v>
      </c>
      <c r="R623" s="7">
        <f t="shared" si="122"/>
        <v>5080</v>
      </c>
      <c r="S623" s="11" t="s">
        <v>136</v>
      </c>
      <c r="T623" s="7">
        <f t="shared" si="123"/>
        <v>390.7692307692308</v>
      </c>
    </row>
    <row r="624" spans="14:20" ht="13.5">
      <c r="N624" s="3">
        <v>40166</v>
      </c>
      <c r="O624" t="s">
        <v>453</v>
      </c>
      <c r="Q624" s="7">
        <v>198</v>
      </c>
      <c r="R624" s="7">
        <f t="shared" si="122"/>
        <v>4882</v>
      </c>
      <c r="S624" s="11" t="s">
        <v>136</v>
      </c>
      <c r="T624" s="7">
        <f t="shared" si="123"/>
        <v>375.53846153846155</v>
      </c>
    </row>
    <row r="625" spans="14:20" ht="13.5">
      <c r="N625" s="3">
        <v>40166</v>
      </c>
      <c r="O625" t="s">
        <v>454</v>
      </c>
      <c r="Q625" s="7">
        <v>98</v>
      </c>
      <c r="R625" s="7">
        <f t="shared" si="122"/>
        <v>4784</v>
      </c>
      <c r="S625" s="11" t="s">
        <v>136</v>
      </c>
      <c r="T625" s="7">
        <f t="shared" si="123"/>
        <v>368</v>
      </c>
    </row>
    <row r="626" spans="14:20" ht="13.5">
      <c r="N626" s="3">
        <v>40166</v>
      </c>
      <c r="O626" t="s">
        <v>455</v>
      </c>
      <c r="Q626" s="7">
        <f>88*2</f>
        <v>176</v>
      </c>
      <c r="R626" s="7">
        <f t="shared" si="122"/>
        <v>4608</v>
      </c>
      <c r="S626" s="11" t="s">
        <v>136</v>
      </c>
      <c r="T626" s="7">
        <f t="shared" si="123"/>
        <v>354.46153846153845</v>
      </c>
    </row>
    <row r="627" spans="14:20" ht="13.5">
      <c r="N627" s="3">
        <v>40166</v>
      </c>
      <c r="O627" t="s">
        <v>243</v>
      </c>
      <c r="Q627" s="7">
        <v>148</v>
      </c>
      <c r="R627" s="7">
        <f t="shared" si="122"/>
        <v>4460</v>
      </c>
      <c r="S627" s="11" t="s">
        <v>136</v>
      </c>
      <c r="T627" s="7">
        <f t="shared" si="123"/>
        <v>343.0769230769231</v>
      </c>
    </row>
    <row r="628" spans="14:20" ht="13.5">
      <c r="N628" s="3">
        <v>40166</v>
      </c>
      <c r="O628" t="s">
        <v>456</v>
      </c>
      <c r="Q628" s="7">
        <v>496</v>
      </c>
      <c r="R628" s="7">
        <f t="shared" si="122"/>
        <v>3964</v>
      </c>
      <c r="S628" s="11" t="s">
        <v>136</v>
      </c>
      <c r="T628" s="7">
        <f t="shared" si="123"/>
        <v>304.9230769230769</v>
      </c>
    </row>
    <row r="629" spans="14:20" ht="13.5">
      <c r="N629" s="3">
        <v>40166</v>
      </c>
      <c r="O629" t="s">
        <v>457</v>
      </c>
      <c r="Q629" s="7">
        <v>8</v>
      </c>
      <c r="R629" s="7">
        <f t="shared" si="122"/>
        <v>3956</v>
      </c>
      <c r="S629" s="11" t="s">
        <v>136</v>
      </c>
      <c r="T629" s="7">
        <f t="shared" si="123"/>
        <v>304.3076923076923</v>
      </c>
    </row>
    <row r="630" spans="14:20" ht="13.5">
      <c r="N630" s="3">
        <v>40168</v>
      </c>
      <c r="O630" t="s">
        <v>462</v>
      </c>
      <c r="Q630" s="7">
        <v>455</v>
      </c>
      <c r="R630" s="7">
        <f aca="true" t="shared" si="124" ref="R630:R637">+R629+P630-Q630</f>
        <v>3501</v>
      </c>
      <c r="S630" s="11" t="s">
        <v>136</v>
      </c>
      <c r="T630" s="7">
        <f>+R630/(40179-N630)</f>
        <v>318.27272727272725</v>
      </c>
    </row>
    <row r="631" spans="14:20" ht="13.5">
      <c r="N631" s="3">
        <v>40168</v>
      </c>
      <c r="O631" t="s">
        <v>461</v>
      </c>
      <c r="Q631" s="7">
        <v>848</v>
      </c>
      <c r="R631" s="7">
        <f t="shared" si="124"/>
        <v>2653</v>
      </c>
      <c r="S631" s="11" t="s">
        <v>136</v>
      </c>
      <c r="T631" s="7">
        <f>+R631/(40179-N631)</f>
        <v>241.1818181818182</v>
      </c>
    </row>
    <row r="632" spans="14:20" ht="13.5">
      <c r="N632" s="3">
        <v>40168</v>
      </c>
      <c r="O632" t="s">
        <v>80</v>
      </c>
      <c r="Q632" s="7">
        <v>105</v>
      </c>
      <c r="R632" s="7">
        <f t="shared" si="124"/>
        <v>2548</v>
      </c>
      <c r="S632" s="11" t="s">
        <v>136</v>
      </c>
      <c r="T632" s="7">
        <f>+R632/(40179-N632)</f>
        <v>231.63636363636363</v>
      </c>
    </row>
    <row r="633" spans="14:20" ht="13.5">
      <c r="N633" s="3">
        <v>40168</v>
      </c>
      <c r="O633" t="s">
        <v>127</v>
      </c>
      <c r="P633" s="7"/>
      <c r="Q633" s="7">
        <v>105</v>
      </c>
      <c r="R633" s="7">
        <f t="shared" si="124"/>
        <v>2443</v>
      </c>
      <c r="S633" s="11" t="s">
        <v>136</v>
      </c>
      <c r="T633" s="7">
        <f>+R633/(40179-N633)</f>
        <v>222.0909090909091</v>
      </c>
    </row>
    <row r="634" spans="14:20" ht="13.5">
      <c r="N634" s="3">
        <v>40172</v>
      </c>
      <c r="O634" t="s">
        <v>458</v>
      </c>
      <c r="P634" s="7">
        <v>28000</v>
      </c>
      <c r="Q634" s="7"/>
      <c r="R634" s="7">
        <f t="shared" si="124"/>
        <v>30443</v>
      </c>
      <c r="S634" s="11" t="s">
        <v>136</v>
      </c>
      <c r="T634" s="7">
        <f>+R634/(40210-N634)</f>
        <v>801.1315789473684</v>
      </c>
    </row>
    <row r="635" spans="14:20" ht="13.5">
      <c r="N635" s="3">
        <v>40172</v>
      </c>
      <c r="O635" t="s">
        <v>463</v>
      </c>
      <c r="P635" s="16">
        <v>45000</v>
      </c>
      <c r="Q635" s="7"/>
      <c r="R635" s="7">
        <f t="shared" si="124"/>
        <v>75443</v>
      </c>
      <c r="S635" s="11" t="s">
        <v>136</v>
      </c>
      <c r="T635" s="7">
        <f>+R635/(40210-N635)</f>
        <v>1985.342105263158</v>
      </c>
    </row>
    <row r="636" spans="14:20" ht="13.5">
      <c r="N636" s="3">
        <v>40172</v>
      </c>
      <c r="O636" t="s">
        <v>464</v>
      </c>
      <c r="P636" s="7"/>
      <c r="Q636" s="7">
        <v>105</v>
      </c>
      <c r="R636" s="7">
        <f t="shared" si="124"/>
        <v>75338</v>
      </c>
      <c r="S636" s="11" t="s">
        <v>136</v>
      </c>
      <c r="T636" s="7">
        <f aca="true" t="shared" si="125" ref="T636:T671">+R636/(40210-N636)</f>
        <v>1982.578947368421</v>
      </c>
    </row>
    <row r="637" spans="14:20" ht="13.5">
      <c r="N637" s="3">
        <v>40172</v>
      </c>
      <c r="O637" t="s">
        <v>465</v>
      </c>
      <c r="P637" s="7"/>
      <c r="Q637" s="7">
        <v>105</v>
      </c>
      <c r="R637" s="7">
        <f t="shared" si="124"/>
        <v>75233</v>
      </c>
      <c r="S637" s="11" t="s">
        <v>136</v>
      </c>
      <c r="T637" s="7">
        <f t="shared" si="125"/>
        <v>1979.8157894736842</v>
      </c>
    </row>
    <row r="638" spans="14:20" ht="13.5">
      <c r="N638" s="3">
        <v>40172</v>
      </c>
      <c r="O638" t="s">
        <v>466</v>
      </c>
      <c r="P638" s="7"/>
      <c r="Q638" s="7">
        <v>105</v>
      </c>
      <c r="R638" s="7">
        <f aca="true" t="shared" si="126" ref="R638:R644">+R637+P638-Q638</f>
        <v>75128</v>
      </c>
      <c r="S638" s="11" t="s">
        <v>136</v>
      </c>
      <c r="T638" s="7">
        <f t="shared" si="125"/>
        <v>1977.0526315789473</v>
      </c>
    </row>
    <row r="639" spans="14:20" ht="13.5">
      <c r="N639" s="3">
        <v>40172</v>
      </c>
      <c r="O639" t="s">
        <v>467</v>
      </c>
      <c r="P639" s="7"/>
      <c r="Q639" s="7">
        <f>105*2</f>
        <v>210</v>
      </c>
      <c r="R639" s="7">
        <f t="shared" si="126"/>
        <v>74918</v>
      </c>
      <c r="S639" s="11" t="s">
        <v>136</v>
      </c>
      <c r="T639" s="7">
        <f t="shared" si="125"/>
        <v>1971.5263157894738</v>
      </c>
    </row>
    <row r="640" spans="14:20" ht="13.5">
      <c r="N640" s="3">
        <v>40172</v>
      </c>
      <c r="O640" t="s">
        <v>430</v>
      </c>
      <c r="P640" s="7"/>
      <c r="Q640" s="7">
        <v>10</v>
      </c>
      <c r="R640" s="7">
        <f t="shared" si="126"/>
        <v>74908</v>
      </c>
      <c r="S640" s="11" t="s">
        <v>136</v>
      </c>
      <c r="T640" s="7">
        <f t="shared" si="125"/>
        <v>1971.2631578947369</v>
      </c>
    </row>
    <row r="641" spans="14:20" ht="13.5">
      <c r="N641" s="3">
        <v>40172</v>
      </c>
      <c r="O641" t="s">
        <v>468</v>
      </c>
      <c r="P641" s="7"/>
      <c r="Q641" s="7">
        <v>498</v>
      </c>
      <c r="R641" s="7">
        <f t="shared" si="126"/>
        <v>74410</v>
      </c>
      <c r="S641" s="11" t="s">
        <v>136</v>
      </c>
      <c r="T641" s="7">
        <f t="shared" si="125"/>
        <v>1958.157894736842</v>
      </c>
    </row>
    <row r="642" spans="14:20" ht="13.5">
      <c r="N642" s="3">
        <v>40172</v>
      </c>
      <c r="O642" t="s">
        <v>444</v>
      </c>
      <c r="P642" s="7"/>
      <c r="Q642" s="7">
        <v>397</v>
      </c>
      <c r="R642" s="7">
        <f t="shared" si="126"/>
        <v>74013</v>
      </c>
      <c r="S642" s="11" t="s">
        <v>136</v>
      </c>
      <c r="T642" s="7">
        <f t="shared" si="125"/>
        <v>1947.7105263157894</v>
      </c>
    </row>
    <row r="643" spans="14:20" ht="13.5">
      <c r="N643" s="3">
        <v>40172</v>
      </c>
      <c r="O643" t="s">
        <v>469</v>
      </c>
      <c r="P643" s="7"/>
      <c r="Q643" s="7">
        <v>236</v>
      </c>
      <c r="R643" s="7">
        <f t="shared" si="126"/>
        <v>73777</v>
      </c>
      <c r="S643" s="11" t="s">
        <v>136</v>
      </c>
      <c r="T643" s="7">
        <f t="shared" si="125"/>
        <v>1941.5</v>
      </c>
    </row>
    <row r="644" spans="14:20" ht="13.5">
      <c r="N644" s="3">
        <v>40172</v>
      </c>
      <c r="O644" t="s">
        <v>120</v>
      </c>
      <c r="P644" s="7"/>
      <c r="Q644" s="7">
        <v>996</v>
      </c>
      <c r="R644" s="7">
        <f t="shared" si="126"/>
        <v>72781</v>
      </c>
      <c r="S644" s="11" t="s">
        <v>136</v>
      </c>
      <c r="T644" s="7">
        <f t="shared" si="125"/>
        <v>1915.2894736842106</v>
      </c>
    </row>
    <row r="645" spans="14:20" ht="13.5">
      <c r="N645" s="3">
        <v>40172</v>
      </c>
      <c r="O645" t="s">
        <v>470</v>
      </c>
      <c r="P645" s="7"/>
      <c r="Q645" s="7">
        <f>198+358</f>
        <v>556</v>
      </c>
      <c r="R645" s="7">
        <f aca="true" t="shared" si="127" ref="R645:R650">+R644+P645-Q645</f>
        <v>72225</v>
      </c>
      <c r="S645" s="11" t="s">
        <v>136</v>
      </c>
      <c r="T645" s="7">
        <f t="shared" si="125"/>
        <v>1900.657894736842</v>
      </c>
    </row>
    <row r="646" spans="14:20" ht="13.5">
      <c r="N646" s="3">
        <v>40172</v>
      </c>
      <c r="O646" t="s">
        <v>471</v>
      </c>
      <c r="P646" s="7"/>
      <c r="Q646" s="7">
        <v>656</v>
      </c>
      <c r="R646" s="7">
        <f t="shared" si="127"/>
        <v>71569</v>
      </c>
      <c r="S646" s="11" t="s">
        <v>136</v>
      </c>
      <c r="T646" s="7">
        <f t="shared" si="125"/>
        <v>1883.3947368421052</v>
      </c>
    </row>
    <row r="647" spans="14:20" ht="13.5">
      <c r="N647" s="3">
        <v>40172</v>
      </c>
      <c r="O647" t="s">
        <v>472</v>
      </c>
      <c r="P647" s="7"/>
      <c r="Q647" s="7">
        <v>500</v>
      </c>
      <c r="R647" s="7">
        <f t="shared" si="127"/>
        <v>71069</v>
      </c>
      <c r="S647" s="11" t="s">
        <v>136</v>
      </c>
      <c r="T647" s="7">
        <f t="shared" si="125"/>
        <v>1870.2368421052631</v>
      </c>
    </row>
    <row r="648" spans="14:20" ht="13.5">
      <c r="N648" s="3">
        <v>40172</v>
      </c>
      <c r="O648" t="s">
        <v>473</v>
      </c>
      <c r="P648" s="7"/>
      <c r="Q648" s="7">
        <v>3500</v>
      </c>
      <c r="R648" s="7">
        <f t="shared" si="127"/>
        <v>67569</v>
      </c>
      <c r="S648" s="11" t="s">
        <v>136</v>
      </c>
      <c r="T648" s="7">
        <f t="shared" si="125"/>
        <v>1778.1315789473683</v>
      </c>
    </row>
    <row r="649" spans="14:20" ht="13.5">
      <c r="N649" s="3">
        <v>40172</v>
      </c>
      <c r="O649" t="s">
        <v>65</v>
      </c>
      <c r="P649" s="7"/>
      <c r="Q649" s="7">
        <v>1210</v>
      </c>
      <c r="R649" s="7">
        <f t="shared" si="127"/>
        <v>66359</v>
      </c>
      <c r="S649" s="11" t="s">
        <v>426</v>
      </c>
      <c r="T649" s="7">
        <f t="shared" si="125"/>
        <v>1746.2894736842106</v>
      </c>
    </row>
    <row r="650" spans="14:20" ht="13.5">
      <c r="N650" s="3">
        <v>40172</v>
      </c>
      <c r="O650" t="s">
        <v>50</v>
      </c>
      <c r="P650" s="7"/>
      <c r="Q650" s="7">
        <f>28+196</f>
        <v>224</v>
      </c>
      <c r="R650" s="7">
        <f t="shared" si="127"/>
        <v>66135</v>
      </c>
      <c r="S650" s="26">
        <f>28/(SUM($Q636:$Q649))</f>
        <v>0.0030823425803610744</v>
      </c>
      <c r="T650" s="7">
        <f t="shared" si="125"/>
        <v>1740.3947368421052</v>
      </c>
    </row>
    <row r="651" spans="14:20" ht="13.5">
      <c r="N651" s="3">
        <v>40172</v>
      </c>
      <c r="O651" t="s">
        <v>474</v>
      </c>
      <c r="P651" s="7"/>
      <c r="Q651" s="7">
        <v>2300</v>
      </c>
      <c r="R651" s="7">
        <f>+R650+P651-Q651</f>
        <v>63835</v>
      </c>
      <c r="S651" s="11" t="s">
        <v>136</v>
      </c>
      <c r="T651" s="7">
        <f t="shared" si="125"/>
        <v>1679.8684210526317</v>
      </c>
    </row>
    <row r="652" spans="14:20" ht="13.5">
      <c r="N652" s="3">
        <v>40172</v>
      </c>
      <c r="O652" t="s">
        <v>477</v>
      </c>
      <c r="P652" s="7"/>
      <c r="Q652" s="7">
        <v>1400</v>
      </c>
      <c r="R652" s="7">
        <f>+R651+P652-Q652</f>
        <v>62435</v>
      </c>
      <c r="S652" s="11" t="s">
        <v>136</v>
      </c>
      <c r="T652" s="7">
        <f t="shared" si="125"/>
        <v>1643.0263157894738</v>
      </c>
    </row>
    <row r="653" spans="14:20" ht="13.5">
      <c r="N653" s="3">
        <v>40172</v>
      </c>
      <c r="O653" t="s">
        <v>475</v>
      </c>
      <c r="P653" s="7"/>
      <c r="Q653" s="7">
        <v>198</v>
      </c>
      <c r="R653" s="7">
        <f>+R652+P653-Q653</f>
        <v>62237</v>
      </c>
      <c r="S653" s="11" t="s">
        <v>136</v>
      </c>
      <c r="T653" s="7">
        <f t="shared" si="125"/>
        <v>1637.8157894736842</v>
      </c>
    </row>
    <row r="654" spans="14:20" ht="13.5">
      <c r="N654" s="3">
        <v>40172</v>
      </c>
      <c r="O654" t="s">
        <v>364</v>
      </c>
      <c r="P654" s="7"/>
      <c r="Q654" s="7">
        <v>300</v>
      </c>
      <c r="R654" s="7">
        <f>+R653+P654-Q654</f>
        <v>61937</v>
      </c>
      <c r="S654" s="11" t="s">
        <v>136</v>
      </c>
      <c r="T654" s="7">
        <f t="shared" si="125"/>
        <v>1629.921052631579</v>
      </c>
    </row>
    <row r="655" spans="14:20" ht="13.5">
      <c r="N655" s="3">
        <v>40172</v>
      </c>
      <c r="O655" t="s">
        <v>476</v>
      </c>
      <c r="P655" s="7"/>
      <c r="Q655" s="7">
        <f>3925*2</f>
        <v>7850</v>
      </c>
      <c r="R655" s="7">
        <f>+R654+P655-Q655</f>
        <v>54087</v>
      </c>
      <c r="S655" s="11" t="s">
        <v>136</v>
      </c>
      <c r="T655" s="7">
        <f t="shared" si="125"/>
        <v>1423.342105263158</v>
      </c>
    </row>
    <row r="656" spans="14:20" ht="13.5">
      <c r="N656" s="3">
        <v>40173</v>
      </c>
      <c r="O656" t="s">
        <v>478</v>
      </c>
      <c r="P656" s="7"/>
      <c r="Q656" s="7">
        <v>2825</v>
      </c>
      <c r="R656" s="7">
        <f aca="true" t="shared" si="128" ref="R656:R669">+R655+P656-Q656</f>
        <v>51262</v>
      </c>
      <c r="S656" s="11" t="s">
        <v>136</v>
      </c>
      <c r="T656" s="7">
        <f aca="true" t="shared" si="129" ref="T656:T669">+R656/(40210-N656)</f>
        <v>1385.4594594594594</v>
      </c>
    </row>
    <row r="657" spans="14:20" ht="13.5">
      <c r="N657" s="3">
        <v>40175</v>
      </c>
      <c r="O657" t="s">
        <v>120</v>
      </c>
      <c r="P657" s="7"/>
      <c r="Q657" s="7">
        <v>996</v>
      </c>
      <c r="R657" s="7">
        <f t="shared" si="128"/>
        <v>50266</v>
      </c>
      <c r="S657" s="11" t="s">
        <v>136</v>
      </c>
      <c r="T657" s="7">
        <f t="shared" si="129"/>
        <v>1436.1714285714286</v>
      </c>
    </row>
    <row r="658" spans="14:20" ht="13.5">
      <c r="N658" s="3">
        <v>40175</v>
      </c>
      <c r="O658" t="s">
        <v>101</v>
      </c>
      <c r="P658" s="7"/>
      <c r="Q658" s="7">
        <v>120</v>
      </c>
      <c r="R658" s="7">
        <f t="shared" si="128"/>
        <v>50146</v>
      </c>
      <c r="S658" s="11" t="s">
        <v>136</v>
      </c>
      <c r="T658" s="7">
        <f t="shared" si="129"/>
        <v>1432.7428571428572</v>
      </c>
    </row>
    <row r="659" spans="14:20" ht="13.5">
      <c r="N659" s="3">
        <v>40175</v>
      </c>
      <c r="O659" t="s">
        <v>479</v>
      </c>
      <c r="P659" s="7"/>
      <c r="Q659" s="7">
        <f>300*6</f>
        <v>1800</v>
      </c>
      <c r="R659" s="7">
        <f t="shared" si="128"/>
        <v>48346</v>
      </c>
      <c r="S659" s="11" t="s">
        <v>136</v>
      </c>
      <c r="T659" s="7">
        <f t="shared" si="129"/>
        <v>1381.3142857142857</v>
      </c>
    </row>
    <row r="660" spans="14:20" ht="13.5">
      <c r="N660" s="3">
        <v>40175</v>
      </c>
      <c r="O660" t="s">
        <v>480</v>
      </c>
      <c r="P660" s="7"/>
      <c r="Q660" s="7">
        <f>1260-105</f>
        <v>1155</v>
      </c>
      <c r="R660" s="7">
        <f t="shared" si="128"/>
        <v>47191</v>
      </c>
      <c r="S660" s="11" t="s">
        <v>136</v>
      </c>
      <c r="T660" s="7">
        <f t="shared" si="129"/>
        <v>1348.3142857142857</v>
      </c>
    </row>
    <row r="661" spans="14:20" ht="13.5">
      <c r="N661" s="3">
        <v>40176</v>
      </c>
      <c r="O661" t="s">
        <v>428</v>
      </c>
      <c r="P661" s="7"/>
      <c r="Q661" s="7">
        <v>428</v>
      </c>
      <c r="R661" s="7">
        <f t="shared" si="128"/>
        <v>46763</v>
      </c>
      <c r="S661" s="11" t="s">
        <v>136</v>
      </c>
      <c r="T661" s="7">
        <f t="shared" si="129"/>
        <v>1375.3823529411766</v>
      </c>
    </row>
    <row r="662" spans="14:20" ht="13.5">
      <c r="N662" s="3">
        <v>40176</v>
      </c>
      <c r="O662" s="27" t="s">
        <v>481</v>
      </c>
      <c r="P662" s="7"/>
      <c r="Q662" s="7">
        <v>600</v>
      </c>
      <c r="R662" s="7">
        <f t="shared" si="128"/>
        <v>46163</v>
      </c>
      <c r="S662" s="11" t="s">
        <v>136</v>
      </c>
      <c r="T662" s="7">
        <f t="shared" si="129"/>
        <v>1357.735294117647</v>
      </c>
    </row>
    <row r="663" spans="14:20" ht="13.5">
      <c r="N663" s="3">
        <v>40176</v>
      </c>
      <c r="O663" s="27" t="s">
        <v>482</v>
      </c>
      <c r="P663" s="7"/>
      <c r="Q663" s="7">
        <v>258</v>
      </c>
      <c r="R663" s="7">
        <f t="shared" si="128"/>
        <v>45905</v>
      </c>
      <c r="S663" s="11" t="s">
        <v>136</v>
      </c>
      <c r="T663" s="7">
        <f t="shared" si="129"/>
        <v>1350.1470588235295</v>
      </c>
    </row>
    <row r="664" spans="14:20" ht="13.5">
      <c r="N664" s="3">
        <v>40176</v>
      </c>
      <c r="O664" s="27" t="s">
        <v>483</v>
      </c>
      <c r="P664" s="7"/>
      <c r="Q664" s="7">
        <v>4410</v>
      </c>
      <c r="R664" s="7">
        <f t="shared" si="128"/>
        <v>41495</v>
      </c>
      <c r="S664" s="11" t="s">
        <v>136</v>
      </c>
      <c r="T664" s="7">
        <f t="shared" si="129"/>
        <v>1220.4411764705883</v>
      </c>
    </row>
    <row r="665" spans="14:20" ht="13.5">
      <c r="N665" s="3">
        <v>40176</v>
      </c>
      <c r="O665" s="27" t="s">
        <v>484</v>
      </c>
      <c r="P665" s="7"/>
      <c r="Q665" s="7">
        <f>242+1062</f>
        <v>1304</v>
      </c>
      <c r="R665" s="7">
        <f t="shared" si="128"/>
        <v>40191</v>
      </c>
      <c r="S665" s="11" t="s">
        <v>136</v>
      </c>
      <c r="T665" s="7">
        <f t="shared" si="129"/>
        <v>1182.0882352941176</v>
      </c>
    </row>
    <row r="666" spans="14:20" ht="13.5">
      <c r="N666" s="3">
        <v>40178</v>
      </c>
      <c r="O666" s="27" t="s">
        <v>485</v>
      </c>
      <c r="P666" s="7"/>
      <c r="Q666" s="7">
        <v>0</v>
      </c>
      <c r="R666" s="7">
        <f t="shared" si="128"/>
        <v>40191</v>
      </c>
      <c r="S666" s="11" t="s">
        <v>136</v>
      </c>
      <c r="T666" s="7">
        <f t="shared" si="129"/>
        <v>1255.96875</v>
      </c>
    </row>
    <row r="667" spans="14:20" ht="13.5">
      <c r="N667" s="3">
        <v>40178</v>
      </c>
      <c r="O667" s="27"/>
      <c r="P667" s="7"/>
      <c r="Q667" s="7"/>
      <c r="R667" s="7">
        <f t="shared" si="128"/>
        <v>40191</v>
      </c>
      <c r="T667" s="7">
        <f t="shared" si="129"/>
        <v>1255.96875</v>
      </c>
    </row>
    <row r="668" spans="14:20" ht="13.5">
      <c r="N668" s="3">
        <v>40178</v>
      </c>
      <c r="O668" s="27"/>
      <c r="P668" s="7"/>
      <c r="Q668" s="7"/>
      <c r="R668" s="7">
        <f t="shared" si="128"/>
        <v>40191</v>
      </c>
      <c r="T668" s="7">
        <f t="shared" si="129"/>
        <v>1255.96875</v>
      </c>
    </row>
    <row r="669" spans="14:20" ht="13.5">
      <c r="N669" s="3">
        <v>40178</v>
      </c>
      <c r="O669" s="27"/>
      <c r="P669" s="7"/>
      <c r="Q669" s="7"/>
      <c r="R669" s="7">
        <f t="shared" si="128"/>
        <v>40191</v>
      </c>
      <c r="T669" s="7">
        <f t="shared" si="129"/>
        <v>1255.96875</v>
      </c>
    </row>
    <row r="670" spans="14:20" ht="13.5">
      <c r="N670" s="3">
        <v>40178</v>
      </c>
      <c r="O670" s="27"/>
      <c r="P670" s="7"/>
      <c r="Q670" s="7"/>
      <c r="R670" s="7">
        <f>+R669+P670-Q670</f>
        <v>40191</v>
      </c>
      <c r="T670" s="7">
        <f t="shared" si="125"/>
        <v>1255.96875</v>
      </c>
    </row>
    <row r="671" spans="14:20" ht="13.5">
      <c r="N671" s="3">
        <v>40178</v>
      </c>
      <c r="O671" s="25" t="s">
        <v>460</v>
      </c>
      <c r="P671" s="7"/>
      <c r="Q671" s="7"/>
      <c r="R671" s="24">
        <f>+R670+P671-Q671</f>
        <v>40191</v>
      </c>
      <c r="T671" s="7">
        <f t="shared" si="125"/>
        <v>1255.96875</v>
      </c>
    </row>
    <row r="673" ht="13.5">
      <c r="N673" s="22"/>
    </row>
    <row r="674" ht="13.5">
      <c r="O674" s="27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すちーぶ</dc:creator>
  <cp:keywords/>
  <dc:description/>
  <cp:lastModifiedBy>すちーぶ</cp:lastModifiedBy>
  <cp:lastPrinted>2009-06-06T21:35:54Z</cp:lastPrinted>
  <dcterms:created xsi:type="dcterms:W3CDTF">2009-06-06T20:31:26Z</dcterms:created>
  <dcterms:modified xsi:type="dcterms:W3CDTF">2010-05-04T01:51:32Z</dcterms:modified>
  <cp:category/>
  <cp:version/>
  <cp:contentType/>
  <cp:contentStatus/>
</cp:coreProperties>
</file>